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D274E344-BE8C-487A-BB68-5F78D606ED7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Town'!$A$1:$O$36</definedName>
    <definedName name="_xlnm.Print_Area" localSheetId="3">'Mardi Gras'!$A$1:$O$45</definedName>
    <definedName name="_xlnm.Print_Area" localSheetId="1">Mountaineer!$A$1:$O$30</definedName>
    <definedName name="_xlnm.Print_Area" localSheetId="0">Summary!$A$1:$O$21</definedName>
    <definedName name="_xlnm.Print_Area" localSheetId="2">Wheeling!$A$1:$O$45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5" l="1"/>
  <c r="C15" i="3" l="1"/>
  <c r="O15" i="1"/>
  <c r="N15" i="1"/>
  <c r="L15" i="1"/>
  <c r="I15" i="1"/>
  <c r="H15" i="1"/>
  <c r="G15" i="1"/>
  <c r="D15" i="1"/>
  <c r="O15" i="2"/>
  <c r="N15" i="2"/>
  <c r="L15" i="2"/>
  <c r="I15" i="2"/>
  <c r="F15" i="2"/>
  <c r="D15" i="2"/>
  <c r="O15" i="3"/>
  <c r="N15" i="3"/>
  <c r="M15" i="3"/>
  <c r="L15" i="3"/>
  <c r="J15" i="3"/>
  <c r="I15" i="3"/>
  <c r="D15" i="3"/>
  <c r="O15" i="4"/>
  <c r="N15" i="4"/>
  <c r="L15" i="4"/>
  <c r="I15" i="4"/>
  <c r="D15" i="4"/>
  <c r="C15" i="1"/>
  <c r="J15" i="2"/>
  <c r="C15" i="2"/>
  <c r="F15" i="3"/>
  <c r="H15" i="4"/>
  <c r="G15" i="4"/>
  <c r="C15" i="4"/>
  <c r="K16" i="5"/>
  <c r="E16" i="5"/>
  <c r="B16" i="5"/>
  <c r="A16" i="5"/>
  <c r="M15" i="1"/>
  <c r="J15" i="1"/>
  <c r="F15" i="1"/>
  <c r="A15" i="1"/>
  <c r="M15" i="2"/>
  <c r="H15" i="2"/>
  <c r="G15" i="2"/>
  <c r="A15" i="2"/>
  <c r="F15" i="4"/>
  <c r="J15" i="4"/>
  <c r="M15" i="4"/>
  <c r="H15" i="3"/>
  <c r="G15" i="3"/>
  <c r="A15" i="3"/>
  <c r="O14" i="1"/>
  <c r="N14" i="1"/>
  <c r="L14" i="1"/>
  <c r="I14" i="1"/>
  <c r="H14" i="1"/>
  <c r="G14" i="1"/>
  <c r="D14" i="1"/>
  <c r="D15" i="5" s="1"/>
  <c r="C14" i="1"/>
  <c r="O14" i="2"/>
  <c r="N14" i="2"/>
  <c r="L14" i="2"/>
  <c r="J14" i="2"/>
  <c r="I14" i="2"/>
  <c r="D14" i="2"/>
  <c r="C14" i="2"/>
  <c r="O14" i="3"/>
  <c r="N14" i="3"/>
  <c r="F14" i="3"/>
  <c r="O14" i="4"/>
  <c r="O15" i="5" s="1"/>
  <c r="N14" i="4"/>
  <c r="L14" i="4"/>
  <c r="I14" i="4"/>
  <c r="H14" i="4"/>
  <c r="G14" i="4"/>
  <c r="D14" i="4"/>
  <c r="C14" i="4"/>
  <c r="K15" i="5"/>
  <c r="E15" i="5"/>
  <c r="B15" i="5"/>
  <c r="A15" i="5"/>
  <c r="L14" i="3"/>
  <c r="C14" i="3"/>
  <c r="D13" i="4"/>
  <c r="M14" i="1"/>
  <c r="J14" i="1"/>
  <c r="F14" i="1"/>
  <c r="A14" i="1"/>
  <c r="M14" i="2"/>
  <c r="H14" i="2"/>
  <c r="G14" i="2"/>
  <c r="F14" i="2"/>
  <c r="A14" i="2"/>
  <c r="M14" i="3"/>
  <c r="J14" i="3"/>
  <c r="I14" i="3"/>
  <c r="H14" i="3"/>
  <c r="G14" i="3"/>
  <c r="D14" i="3"/>
  <c r="A14" i="3"/>
  <c r="M14" i="4"/>
  <c r="J14" i="4"/>
  <c r="F14" i="4"/>
  <c r="O13" i="1"/>
  <c r="N13" i="1"/>
  <c r="L13" i="1"/>
  <c r="I13" i="1"/>
  <c r="H13" i="1"/>
  <c r="G13" i="1"/>
  <c r="D13" i="1"/>
  <c r="O13" i="2"/>
  <c r="N13" i="2"/>
  <c r="C13" i="2"/>
  <c r="O13" i="3"/>
  <c r="N13" i="3"/>
  <c r="L13" i="3"/>
  <c r="C13" i="3"/>
  <c r="O13" i="4"/>
  <c r="N13" i="4"/>
  <c r="L13" i="4"/>
  <c r="I13" i="4"/>
  <c r="K14" i="5"/>
  <c r="E14" i="5"/>
  <c r="B14" i="5"/>
  <c r="A14" i="5"/>
  <c r="C13" i="1"/>
  <c r="M13" i="1"/>
  <c r="J13" i="1"/>
  <c r="F13" i="1"/>
  <c r="A13" i="1"/>
  <c r="I13" i="2"/>
  <c r="D13" i="2"/>
  <c r="M13" i="2"/>
  <c r="L13" i="2"/>
  <c r="J13" i="2"/>
  <c r="H13" i="2"/>
  <c r="G13" i="2"/>
  <c r="F13" i="2"/>
  <c r="A13" i="2"/>
  <c r="I13" i="3"/>
  <c r="D13" i="3"/>
  <c r="M13" i="3"/>
  <c r="J13" i="3"/>
  <c r="H13" i="3"/>
  <c r="G13" i="3"/>
  <c r="F13" i="3"/>
  <c r="A13" i="3"/>
  <c r="J13" i="4"/>
  <c r="C13" i="4"/>
  <c r="M13" i="4"/>
  <c r="H13" i="4"/>
  <c r="H14" i="5" s="1"/>
  <c r="G13" i="4"/>
  <c r="F13" i="4"/>
  <c r="O12" i="1"/>
  <c r="N12" i="1"/>
  <c r="L12" i="1"/>
  <c r="I12" i="1"/>
  <c r="H12" i="1"/>
  <c r="G12" i="1"/>
  <c r="D12" i="1"/>
  <c r="C12" i="1"/>
  <c r="O12" i="2"/>
  <c r="N12" i="2"/>
  <c r="I12" i="2"/>
  <c r="D12" i="2"/>
  <c r="C12" i="2"/>
  <c r="O12" i="3"/>
  <c r="N12" i="3"/>
  <c r="I12" i="3"/>
  <c r="D12" i="3"/>
  <c r="C12" i="3"/>
  <c r="O12" i="4"/>
  <c r="N12" i="4"/>
  <c r="L12" i="4"/>
  <c r="J12" i="4"/>
  <c r="C12" i="4"/>
  <c r="K13" i="5"/>
  <c r="E13" i="5"/>
  <c r="B13" i="5"/>
  <c r="A13" i="5"/>
  <c r="L12" i="3"/>
  <c r="M12" i="1"/>
  <c r="J12" i="1"/>
  <c r="F12" i="1"/>
  <c r="A12" i="1"/>
  <c r="M12" i="2"/>
  <c r="L12" i="2"/>
  <c r="J12" i="2"/>
  <c r="H12" i="2"/>
  <c r="G12" i="2"/>
  <c r="F12" i="2"/>
  <c r="A12" i="2"/>
  <c r="M12" i="3"/>
  <c r="J12" i="3"/>
  <c r="H12" i="3"/>
  <c r="G12" i="3"/>
  <c r="F12" i="3"/>
  <c r="A12" i="3"/>
  <c r="M12" i="4"/>
  <c r="I12" i="4"/>
  <c r="H12" i="4"/>
  <c r="G12" i="4"/>
  <c r="F12" i="4"/>
  <c r="D12" i="4"/>
  <c r="L11" i="3"/>
  <c r="L11" i="4"/>
  <c r="O11" i="1"/>
  <c r="N11" i="1"/>
  <c r="M11" i="1"/>
  <c r="L11" i="1"/>
  <c r="I11" i="1"/>
  <c r="H11" i="1"/>
  <c r="G11" i="1"/>
  <c r="D11" i="1"/>
  <c r="C11" i="1"/>
  <c r="O11" i="2"/>
  <c r="N11" i="2"/>
  <c r="I11" i="2"/>
  <c r="D11" i="2"/>
  <c r="O11" i="3"/>
  <c r="N11" i="3"/>
  <c r="O11" i="4"/>
  <c r="N11" i="4"/>
  <c r="J11" i="4"/>
  <c r="H16" i="5" l="1"/>
  <c r="J16" i="5"/>
  <c r="L16" i="5"/>
  <c r="I16" i="5"/>
  <c r="F16" i="5"/>
  <c r="N16" i="5"/>
  <c r="M16" i="5"/>
  <c r="O16" i="5"/>
  <c r="D16" i="5"/>
  <c r="G16" i="5"/>
  <c r="I15" i="5"/>
  <c r="O14" i="5"/>
  <c r="C15" i="5"/>
  <c r="F15" i="5"/>
  <c r="G15" i="5"/>
  <c r="M15" i="5"/>
  <c r="H15" i="5"/>
  <c r="J15" i="5"/>
  <c r="L15" i="5"/>
  <c r="N15" i="5"/>
  <c r="F14" i="5"/>
  <c r="L14" i="5"/>
  <c r="O13" i="5"/>
  <c r="G14" i="5"/>
  <c r="I14" i="5"/>
  <c r="J14" i="5"/>
  <c r="N14" i="5"/>
  <c r="D14" i="5"/>
  <c r="M14" i="5"/>
  <c r="C14" i="5"/>
  <c r="J13" i="5"/>
  <c r="L13" i="5"/>
  <c r="D13" i="5"/>
  <c r="N13" i="5"/>
  <c r="I13" i="5"/>
  <c r="M13" i="5"/>
  <c r="F13" i="5"/>
  <c r="C13" i="5"/>
  <c r="G13" i="5"/>
  <c r="H13" i="5"/>
  <c r="K12" i="5"/>
  <c r="E12" i="5"/>
  <c r="B12" i="5"/>
  <c r="A12" i="5"/>
  <c r="I11" i="3"/>
  <c r="F11" i="3"/>
  <c r="D11" i="3"/>
  <c r="C11" i="3"/>
  <c r="O12" i="5"/>
  <c r="M11" i="2"/>
  <c r="N12" i="5"/>
  <c r="J11" i="1"/>
  <c r="F11" i="1"/>
  <c r="A11" i="1"/>
  <c r="L11" i="2"/>
  <c r="J11" i="2"/>
  <c r="H11" i="2"/>
  <c r="G11" i="2"/>
  <c r="F11" i="2"/>
  <c r="C11" i="2"/>
  <c r="A11" i="2"/>
  <c r="M11" i="3"/>
  <c r="J11" i="3"/>
  <c r="H11" i="3"/>
  <c r="G11" i="3"/>
  <c r="A11" i="3"/>
  <c r="C11" i="4"/>
  <c r="M11" i="4"/>
  <c r="I11" i="4"/>
  <c r="H11" i="4"/>
  <c r="G11" i="4"/>
  <c r="F11" i="4"/>
  <c r="D11" i="4"/>
  <c r="G10" i="4"/>
  <c r="K11" i="5"/>
  <c r="E11" i="5"/>
  <c r="B11" i="5"/>
  <c r="A11" i="5"/>
  <c r="O10" i="1"/>
  <c r="N10" i="1"/>
  <c r="L10" i="1"/>
  <c r="I10" i="1"/>
  <c r="H10" i="1"/>
  <c r="G10" i="1"/>
  <c r="F10" i="1"/>
  <c r="D10" i="1"/>
  <c r="C10" i="1"/>
  <c r="O10" i="2"/>
  <c r="N10" i="2"/>
  <c r="M10" i="2"/>
  <c r="G10" i="2"/>
  <c r="F10" i="2"/>
  <c r="O10" i="3"/>
  <c r="N10" i="3"/>
  <c r="L10" i="3"/>
  <c r="I10" i="3"/>
  <c r="G10" i="3"/>
  <c r="F10" i="3"/>
  <c r="F10" i="4"/>
  <c r="D10" i="3"/>
  <c r="C10" i="3"/>
  <c r="O10" i="4"/>
  <c r="N10" i="4"/>
  <c r="L10" i="4"/>
  <c r="C10" i="4"/>
  <c r="I12" i="5" l="1"/>
  <c r="G11" i="5"/>
  <c r="F11" i="5"/>
  <c r="F12" i="5"/>
  <c r="L12" i="5"/>
  <c r="H12" i="5"/>
  <c r="G12" i="5"/>
  <c r="D12" i="5"/>
  <c r="J12" i="5"/>
  <c r="M12" i="5"/>
  <c r="C12" i="5"/>
  <c r="O11" i="5"/>
  <c r="N11" i="5"/>
  <c r="M10" i="1"/>
  <c r="J10" i="1"/>
  <c r="A10" i="1"/>
  <c r="L10" i="2"/>
  <c r="L11" i="5" s="1"/>
  <c r="J10" i="2"/>
  <c r="I10" i="2"/>
  <c r="H10" i="2"/>
  <c r="D10" i="2"/>
  <c r="C10" i="2"/>
  <c r="C11" i="5" s="1"/>
  <c r="A10" i="2"/>
  <c r="M10" i="3"/>
  <c r="J10" i="3"/>
  <c r="H10" i="3"/>
  <c r="A10" i="3"/>
  <c r="I10" i="4"/>
  <c r="D10" i="4"/>
  <c r="M10" i="4"/>
  <c r="J10" i="4"/>
  <c r="H10" i="4"/>
  <c r="O9" i="1"/>
  <c r="N9" i="1"/>
  <c r="M9" i="1"/>
  <c r="I9" i="1"/>
  <c r="D9" i="1"/>
  <c r="C9" i="1"/>
  <c r="L9" i="2"/>
  <c r="H11" i="5" l="1"/>
  <c r="J11" i="5"/>
  <c r="D11" i="5"/>
  <c r="I11" i="5"/>
  <c r="M11" i="5"/>
  <c r="O9" i="3"/>
  <c r="N9" i="3"/>
  <c r="M9" i="3"/>
  <c r="L9" i="3"/>
  <c r="J9" i="3"/>
  <c r="H9" i="3"/>
  <c r="O9" i="4"/>
  <c r="N9" i="4"/>
  <c r="L9" i="4"/>
  <c r="I9" i="4"/>
  <c r="D9" i="4"/>
  <c r="C9" i="4"/>
  <c r="L9" i="1"/>
  <c r="J9" i="1"/>
  <c r="H9" i="1"/>
  <c r="O9" i="2"/>
  <c r="N9" i="2"/>
  <c r="M9" i="2"/>
  <c r="J9" i="2"/>
  <c r="I9" i="2"/>
  <c r="H9" i="2"/>
  <c r="D9" i="2"/>
  <c r="C9" i="2"/>
  <c r="I9" i="3"/>
  <c r="D9" i="3"/>
  <c r="C9" i="3"/>
  <c r="M9" i="4"/>
  <c r="J9" i="4"/>
  <c r="H9" i="4"/>
  <c r="E17" i="1" l="1"/>
  <c r="E17" i="2"/>
  <c r="A10" i="5" l="1"/>
  <c r="A9" i="3"/>
  <c r="A9" i="2"/>
  <c r="A9" i="1"/>
  <c r="K17" i="1"/>
  <c r="B17" i="1"/>
  <c r="O17" i="1"/>
  <c r="N17" i="1"/>
  <c r="M17" i="1"/>
  <c r="L17" i="1"/>
  <c r="J17" i="1"/>
  <c r="I17" i="1"/>
  <c r="H17" i="1"/>
  <c r="G17" i="1"/>
  <c r="F17" i="1"/>
  <c r="D17" i="1"/>
  <c r="C17" i="1"/>
  <c r="K17" i="2"/>
  <c r="B17" i="2"/>
  <c r="O17" i="2"/>
  <c r="N17" i="2"/>
  <c r="M17" i="2"/>
  <c r="L17" i="2"/>
  <c r="J17" i="2"/>
  <c r="I17" i="2"/>
  <c r="H17" i="2"/>
  <c r="G17" i="2"/>
  <c r="F17" i="2"/>
  <c r="D17" i="2"/>
  <c r="C17" i="2"/>
  <c r="K17" i="3"/>
  <c r="B17" i="3"/>
  <c r="O17" i="3"/>
  <c r="N17" i="3"/>
  <c r="M17" i="3"/>
  <c r="L17" i="3"/>
  <c r="J17" i="3"/>
  <c r="I17" i="3"/>
  <c r="H17" i="3"/>
  <c r="G17" i="3"/>
  <c r="F17" i="3"/>
  <c r="E17" i="3"/>
  <c r="D17" i="3"/>
  <c r="C17" i="3"/>
  <c r="K17" i="4" l="1"/>
  <c r="O17" i="4" l="1"/>
  <c r="N17" i="4"/>
  <c r="L17" i="4" l="1"/>
  <c r="E17" i="4"/>
  <c r="C17" i="4"/>
  <c r="B17" i="4" l="1"/>
  <c r="M17" i="4"/>
  <c r="J17" i="4"/>
  <c r="I17" i="4"/>
  <c r="H17" i="4"/>
  <c r="G17" i="4"/>
  <c r="F17" i="4"/>
  <c r="D17" i="4"/>
  <c r="B10" i="5" l="1"/>
  <c r="K10" i="5"/>
  <c r="K18" i="5" s="1"/>
  <c r="O10" i="5" l="1"/>
  <c r="O18" i="5" s="1"/>
  <c r="N10" i="5"/>
  <c r="N18" i="5" s="1"/>
  <c r="L10" i="5"/>
  <c r="L18" i="5" s="1"/>
  <c r="C10" i="5"/>
  <c r="C18" i="5" s="1"/>
  <c r="G10" i="5" l="1"/>
  <c r="G18" i="5" s="1"/>
  <c r="E10" i="5"/>
  <c r="E18" i="5" s="1"/>
  <c r="D10" i="5"/>
  <c r="D18" i="5" s="1"/>
  <c r="J10" i="5"/>
  <c r="J18" i="5" s="1"/>
  <c r="F10" i="5"/>
  <c r="F18" i="5" s="1"/>
  <c r="M10" i="5"/>
  <c r="M18" i="5" s="1"/>
  <c r="H10" i="5"/>
  <c r="H18" i="5" s="1"/>
  <c r="I10" i="5"/>
  <c r="I18" i="5" s="1"/>
  <c r="B18" i="5" l="1"/>
</calcChain>
</file>

<file path=xl/sharedStrings.xml><?xml version="1.0" encoding="utf-8"?>
<sst xmlns="http://schemas.openxmlformats.org/spreadsheetml/2006/main" count="103" uniqueCount="38">
  <si>
    <t>HOLLYWOOD CASINO AT CHARLES TOWN RACES TABLE GAMES</t>
  </si>
  <si>
    <t>Total Adjusted
Gross Receipts</t>
  </si>
  <si>
    <t>Privilege Tax</t>
  </si>
  <si>
    <t>Administrative</t>
  </si>
  <si>
    <t>Excess Lottery
Fund</t>
  </si>
  <si>
    <t>Thoroughbred Development Fund</t>
  </si>
  <si>
    <t>Racetrack County</t>
  </si>
  <si>
    <t>Racetrack Municipality</t>
  </si>
  <si>
    <t>Racetracks Within Municipalities</t>
  </si>
  <si>
    <t>Interest **</t>
  </si>
  <si>
    <t>Excess Lottery Fund</t>
  </si>
  <si>
    <t>Pension Fund</t>
  </si>
  <si>
    <t>Non-Racetrack Counties *</t>
  </si>
  <si>
    <t>Non-Racetrack Municipalities *</t>
  </si>
  <si>
    <t>*  To get an even distribution amount there will be cents carried forward each month.</t>
  </si>
  <si>
    <t>**  Interest is only used in the calculation of Excess Lottery Fund, Pension Fund, and Non-Racetrack Counties and Municipalities.</t>
  </si>
  <si>
    <t>MARDI GRAS CASINO TABLE GAMES</t>
  </si>
  <si>
    <t>WHEELING ISLAND CASINO TABLE GAMES</t>
  </si>
  <si>
    <t>MOUNTAINEER CASINO TABLE GAMES</t>
  </si>
  <si>
    <t>Thoroughbred Purse Fund</t>
  </si>
  <si>
    <t>Thoroughbred / Greyhound Purse Fund</t>
  </si>
  <si>
    <t>Thoroughbred / Greyhound Development Fund</t>
  </si>
  <si>
    <t>WEST VIRGINIA LOTTERY</t>
  </si>
  <si>
    <t>TABLE GAMES DISTRIBUTION SUMMARY</t>
  </si>
  <si>
    <t>Non-Racetrack Counties ( 51) *</t>
  </si>
  <si>
    <t>July 2025</t>
  </si>
  <si>
    <t>FISCAL YEAR 2026</t>
  </si>
  <si>
    <t>FY 2025</t>
  </si>
  <si>
    <t>Greyhound Purse Fund</t>
  </si>
  <si>
    <t>Greyhound Development Fund</t>
  </si>
  <si>
    <t>August 2025</t>
  </si>
  <si>
    <t>September 2025</t>
  </si>
  <si>
    <t>October 2025</t>
  </si>
  <si>
    <t>Non-Racetrack Municipalities (200) *</t>
  </si>
  <si>
    <t>November 2025</t>
  </si>
  <si>
    <t>December 2025</t>
  </si>
  <si>
    <t>FOR THE MONTH ENDING JANUARY 31, 2026</t>
  </si>
  <si>
    <t>January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</si>
</sst>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5" fillId="0" borderId="0" applyFont="0" applyFill="0" applyBorder="0" applyAlignment="0" applyProtection="0"/>
  </cellStyleXfs>
  <cellXfs count="30">
    <xf numFmtId="0" fontId="0" fillId="0" borderId="0" xfId="0"/>
    <xf numFmtId="0" fontId="17" fillId="0" borderId="0" xfId="0" applyFont="1"/>
    <xf numFmtId="0" fontId="17" fillId="0" borderId="0" xfId="0" applyFont="1" applyAlignment="1">
      <alignment horizontal="center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/>
    </xf>
    <xf numFmtId="0" fontId="17" fillId="0" borderId="0" xfId="0" applyFont="1" applyAlignment="1">
      <alignment horizontal="center" wrapText="1"/>
    </xf>
    <xf numFmtId="44" fontId="17" fillId="0" borderId="0" xfId="1" applyFont="1"/>
    <xf numFmtId="44" fontId="17" fillId="0" borderId="2" xfId="0" applyNumberFormat="1" applyFont="1" applyBorder="1"/>
    <xf numFmtId="0" fontId="19" fillId="0" borderId="0" xfId="0" applyFont="1"/>
    <xf numFmtId="0" fontId="14" fillId="0" borderId="0" xfId="0" applyFont="1"/>
    <xf numFmtId="0" fontId="13" fillId="0" borderId="0" xfId="0" applyFont="1"/>
    <xf numFmtId="0" fontId="12" fillId="0" borderId="0" xfId="0" applyFont="1"/>
    <xf numFmtId="0" fontId="11" fillId="0" borderId="1" xfId="0" applyFont="1" applyBorder="1" applyAlignment="1">
      <alignment horizontal="center" wrapText="1"/>
    </xf>
    <xf numFmtId="0" fontId="10" fillId="0" borderId="0" xfId="0" quotePrefix="1" applyFont="1"/>
    <xf numFmtId="0" fontId="9" fillId="0" borderId="0" xfId="0" quotePrefix="1" applyFont="1"/>
    <xf numFmtId="0" fontId="9" fillId="0" borderId="0" xfId="0" applyFont="1"/>
    <xf numFmtId="44" fontId="9" fillId="0" borderId="0" xfId="1" applyFont="1"/>
    <xf numFmtId="0" fontId="8" fillId="0" borderId="1" xfId="0" applyFont="1" applyBorder="1" applyAlignment="1">
      <alignment horizontal="center" wrapText="1"/>
    </xf>
    <xf numFmtId="0" fontId="7" fillId="0" borderId="0" xfId="0" quotePrefix="1" applyFont="1"/>
    <xf numFmtId="0" fontId="6" fillId="0" borderId="0" xfId="0" quotePrefix="1" applyFont="1"/>
    <xf numFmtId="0" fontId="5" fillId="0" borderId="0" xfId="0" quotePrefix="1" applyFont="1"/>
    <xf numFmtId="0" fontId="4" fillId="0" borderId="1" xfId="0" applyFont="1" applyBorder="1" applyAlignment="1">
      <alignment horizontal="center" wrapText="1"/>
    </xf>
    <xf numFmtId="0" fontId="3" fillId="0" borderId="0" xfId="0" quotePrefix="1" applyFont="1"/>
    <xf numFmtId="0" fontId="2" fillId="0" borderId="0" xfId="0" quotePrefix="1" applyFont="1"/>
    <xf numFmtId="0" fontId="1" fillId="0" borderId="0" xfId="0" quotePrefix="1" applyFont="1"/>
    <xf numFmtId="0" fontId="18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tabSelected="1" workbookViewId="0">
      <selection activeCell="H27" sqref="H27"/>
    </sheetView>
  </sheetViews>
  <sheetFormatPr defaultColWidth="9.140625" defaultRowHeight="15" customHeight="1" x14ac:dyDescent="0.25"/>
  <cols>
    <col min="1" max="1" width="15.7109375" style="1" customWidth="1"/>
    <col min="2" max="3" width="15.28515625" style="1" bestFit="1" customWidth="1"/>
    <col min="4" max="4" width="14.28515625" style="1" bestFit="1" customWidth="1"/>
    <col min="5" max="5" width="13.7109375" style="1" customWidth="1"/>
    <col min="6" max="6" width="14.28515625" style="1" bestFit="1" customWidth="1"/>
    <col min="7" max="7" width="15.140625" style="1" customWidth="1"/>
    <col min="8" max="9" width="14.28515625" style="1" bestFit="1" customWidth="1"/>
    <col min="10" max="10" width="13.7109375" style="1" bestFit="1" customWidth="1"/>
    <col min="11" max="11" width="13.85546875" style="1" customWidth="1"/>
    <col min="12" max="12" width="15.28515625" style="1" bestFit="1" customWidth="1"/>
    <col min="13" max="13" width="12.5703125" style="1" bestFit="1" customWidth="1"/>
    <col min="14" max="14" width="14.28515625" style="1" bestFit="1" customWidth="1"/>
    <col min="15" max="15" width="15.140625" style="1" customWidth="1"/>
    <col min="16" max="16384" width="9.140625" style="1"/>
  </cols>
  <sheetData>
    <row r="1" spans="1:15" ht="18.75" x14ac:dyDescent="0.3">
      <c r="A1" s="25" t="s">
        <v>22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5" customHeight="1" x14ac:dyDescent="0.25">
      <c r="A2" s="26" t="s">
        <v>23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15" customHeight="1" x14ac:dyDescent="0.25">
      <c r="A3" s="26" t="s">
        <v>36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ht="15" customHeight="1" x14ac:dyDescent="0.25">
      <c r="A4" s="26" t="s">
        <v>26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ht="1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8" spans="1:15" ht="60" customHeight="1" x14ac:dyDescent="0.25">
      <c r="B8" s="3" t="s">
        <v>1</v>
      </c>
      <c r="C8" s="4" t="s">
        <v>2</v>
      </c>
      <c r="D8" s="4" t="s">
        <v>3</v>
      </c>
      <c r="E8" s="3" t="s">
        <v>4</v>
      </c>
      <c r="F8" s="3" t="s">
        <v>20</v>
      </c>
      <c r="G8" s="3" t="s">
        <v>21</v>
      </c>
      <c r="H8" s="3" t="s">
        <v>6</v>
      </c>
      <c r="I8" s="3" t="s">
        <v>7</v>
      </c>
      <c r="J8" s="3" t="s">
        <v>8</v>
      </c>
      <c r="K8" s="3" t="s">
        <v>9</v>
      </c>
      <c r="L8" s="3" t="s">
        <v>10</v>
      </c>
      <c r="M8" s="3" t="s">
        <v>11</v>
      </c>
      <c r="N8" s="12" t="s">
        <v>24</v>
      </c>
      <c r="O8" s="21" t="s">
        <v>33</v>
      </c>
    </row>
    <row r="9" spans="1:15" x14ac:dyDescent="0.25">
      <c r="B9" s="5"/>
      <c r="C9" s="2"/>
      <c r="D9" s="2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ht="15" customHeight="1" x14ac:dyDescent="0.25">
      <c r="A10" s="13" t="str">
        <f>Mountaineer!A9</f>
        <v>July 2025</v>
      </c>
      <c r="B10" s="6">
        <f>SUM('Mountaineer:Charles Town'!B9)</f>
        <v>8584073.9199999999</v>
      </c>
      <c r="C10" s="6">
        <f>SUM('Mountaineer:Charles Town'!C9)</f>
        <v>3004425.9000000004</v>
      </c>
      <c r="D10" s="6">
        <f>SUM('Mountaineer:Charles Town'!D9)</f>
        <v>257522.22</v>
      </c>
      <c r="E10" s="6">
        <f>SUM('Mountaineer:Charles Town'!E9)</f>
        <v>12181.42</v>
      </c>
      <c r="F10" s="6">
        <f>SUM('Mountaineer:Charles Town'!F9)</f>
        <v>207834.39</v>
      </c>
      <c r="G10" s="6">
        <f>SUM('Mountaineer:Charles Town'!G9)</f>
        <v>166267.51999999999</v>
      </c>
      <c r="H10" s="6">
        <f>SUM('Mountaineer:Charles Town'!H9)</f>
        <v>171681.49</v>
      </c>
      <c r="I10" s="6">
        <f>SUM('Mountaineer:Charles Town'!I9)</f>
        <v>257522.22</v>
      </c>
      <c r="J10" s="6">
        <f>SUM('Mountaineer:Charles Town'!J9)</f>
        <v>42920.380000000005</v>
      </c>
      <c r="K10" s="6">
        <f>SUM('Mountaineer:Charles Town'!K9)</f>
        <v>16603.38</v>
      </c>
      <c r="L10" s="6">
        <f>SUM('Mountaineer:Charles Town'!L9)</f>
        <v>1447875.73</v>
      </c>
      <c r="M10" s="6">
        <f>SUM('Mountaineer:Charles Town'!M9)</f>
        <v>76203.97</v>
      </c>
      <c r="N10" s="6">
        <f>SUM('Mountaineer:Charles Town'!N9)</f>
        <v>190509.99</v>
      </c>
      <c r="O10" s="6">
        <f>SUM('Mountaineer:Charles Town'!O9)</f>
        <v>190510</v>
      </c>
    </row>
    <row r="11" spans="1:15" ht="15" customHeight="1" x14ac:dyDescent="0.25">
      <c r="A11" s="13" t="str">
        <f>Mountaineer!A10</f>
        <v>August 2025</v>
      </c>
      <c r="B11" s="6">
        <f>SUM('Mountaineer:Charles Town'!B10)</f>
        <v>7921959.7599999998</v>
      </c>
      <c r="C11" s="6">
        <f>SUM('Mountaineer:Charles Town'!C10)</f>
        <v>2772685.91</v>
      </c>
      <c r="D11" s="6">
        <f>SUM('Mountaineer:Charles Town'!D10)</f>
        <v>237658.82</v>
      </c>
      <c r="E11" s="6">
        <f>SUM('Mountaineer:Charles Town'!E10)</f>
        <v>0</v>
      </c>
      <c r="F11" s="6">
        <f>SUM('Mountaineer:Charles Town'!F10)</f>
        <v>198048.99</v>
      </c>
      <c r="G11" s="6">
        <f>SUM('Mountaineer:Charles Town'!G10)</f>
        <v>158439.21000000002</v>
      </c>
      <c r="H11" s="6">
        <f>SUM('Mountaineer:Charles Town'!H10)</f>
        <v>158439.21000000002</v>
      </c>
      <c r="I11" s="6">
        <f>SUM('Mountaineer:Charles Town'!I10)</f>
        <v>237658.82</v>
      </c>
      <c r="J11" s="6">
        <f>SUM('Mountaineer:Charles Town'!J10)</f>
        <v>39609.800000000003</v>
      </c>
      <c r="K11" s="6">
        <f>SUM('Mountaineer:Charles Town'!K10)</f>
        <v>14587.04</v>
      </c>
      <c r="L11" s="6">
        <f>SUM('Mountaineer:Charles Town'!L10)</f>
        <v>1335637.75</v>
      </c>
      <c r="M11" s="6">
        <f>SUM('Mountaineer:Charles Town'!M10)</f>
        <v>70296.73</v>
      </c>
      <c r="N11" s="6">
        <f>SUM('Mountaineer:Charles Town'!N10)</f>
        <v>175741.41</v>
      </c>
      <c r="O11" s="6">
        <f>SUM('Mountaineer:Charles Town'!O10)</f>
        <v>175742</v>
      </c>
    </row>
    <row r="12" spans="1:15" ht="15" customHeight="1" x14ac:dyDescent="0.25">
      <c r="A12" s="13" t="str">
        <f>Mountaineer!A11</f>
        <v>September 2025</v>
      </c>
      <c r="B12" s="6">
        <f>SUM('Mountaineer:Charles Town'!B11)</f>
        <v>6242600.2400000002</v>
      </c>
      <c r="C12" s="6">
        <f>SUM('Mountaineer:Charles Town'!C11)</f>
        <v>2184910.1</v>
      </c>
      <c r="D12" s="6">
        <f>SUM('Mountaineer:Charles Town'!D11)</f>
        <v>187278.02000000002</v>
      </c>
      <c r="E12" s="6">
        <f>SUM('Mountaineer:Charles Town'!E11)</f>
        <v>0</v>
      </c>
      <c r="F12" s="6">
        <f>SUM('Mountaineer:Charles Town'!F11)</f>
        <v>156065</v>
      </c>
      <c r="G12" s="6">
        <f>SUM('Mountaineer:Charles Town'!G11)</f>
        <v>124852.01999999999</v>
      </c>
      <c r="H12" s="6">
        <f>SUM('Mountaineer:Charles Town'!H11)</f>
        <v>124852.01999999999</v>
      </c>
      <c r="I12" s="6">
        <f>SUM('Mountaineer:Charles Town'!I11)</f>
        <v>187278.02000000002</v>
      </c>
      <c r="J12" s="6">
        <f>SUM('Mountaineer:Charles Town'!J11)</f>
        <v>31213</v>
      </c>
      <c r="K12" s="6">
        <f>SUM('Mountaineer:Charles Town'!K11)</f>
        <v>10716.2</v>
      </c>
      <c r="L12" s="6">
        <f>SUM('Mountaineer:Charles Town'!L11)</f>
        <v>1051907.03</v>
      </c>
      <c r="M12" s="6">
        <f>SUM('Mountaineer:Charles Town'!M11)</f>
        <v>55363.53</v>
      </c>
      <c r="N12" s="6">
        <f>SUM('Mountaineer:Charles Town'!N11)</f>
        <v>138408.9</v>
      </c>
      <c r="O12" s="6">
        <f>SUM('Mountaineer:Charles Town'!O11)</f>
        <v>138408</v>
      </c>
    </row>
    <row r="13" spans="1:15" ht="15" customHeight="1" x14ac:dyDescent="0.25">
      <c r="A13" s="13" t="str">
        <f>Mountaineer!A12</f>
        <v>October 2025</v>
      </c>
      <c r="B13" s="6">
        <f>SUM('Mountaineer:Charles Town'!B12)</f>
        <v>8120893.1799999997</v>
      </c>
      <c r="C13" s="6">
        <f>SUM('Mountaineer:Charles Town'!C12)</f>
        <v>2842312.6</v>
      </c>
      <c r="D13" s="6">
        <f>SUM('Mountaineer:Charles Town'!D12)</f>
        <v>243626.78</v>
      </c>
      <c r="E13" s="6">
        <f>SUM('Mountaineer:Charles Town'!E12)</f>
        <v>0</v>
      </c>
      <c r="F13" s="6">
        <f>SUM('Mountaineer:Charles Town'!F12)</f>
        <v>203022.32</v>
      </c>
      <c r="G13" s="6">
        <f>SUM('Mountaineer:Charles Town'!G12)</f>
        <v>162417.85999999999</v>
      </c>
      <c r="H13" s="6">
        <f>SUM('Mountaineer:Charles Town'!H12)</f>
        <v>162417.85999999999</v>
      </c>
      <c r="I13" s="6">
        <f>SUM('Mountaineer:Charles Town'!I12)</f>
        <v>243626.78</v>
      </c>
      <c r="J13" s="6">
        <f>SUM('Mountaineer:Charles Town'!J12)</f>
        <v>40604.46</v>
      </c>
      <c r="K13" s="6">
        <f>SUM('Mountaineer:Charles Town'!K12)</f>
        <v>12604.130000000001</v>
      </c>
      <c r="L13" s="6">
        <f>SUM('Mountaineer:Charles Town'!L12)</f>
        <v>1367392.49</v>
      </c>
      <c r="M13" s="6">
        <f>SUM('Mountaineer:Charles Town'!M12)</f>
        <v>71968.01999999999</v>
      </c>
      <c r="N13" s="6">
        <f>SUM('Mountaineer:Charles Town'!N12)</f>
        <v>179920.34999999998</v>
      </c>
      <c r="O13" s="6">
        <f>SUM('Mountaineer:Charles Town'!O12)</f>
        <v>179920</v>
      </c>
    </row>
    <row r="14" spans="1:15" ht="15" customHeight="1" x14ac:dyDescent="0.25">
      <c r="A14" s="13" t="str">
        <f>Mountaineer!A13</f>
        <v>November 2025</v>
      </c>
      <c r="B14" s="6">
        <f>SUM('Mountaineer:Charles Town'!B13)</f>
        <v>7946163.5899999999</v>
      </c>
      <c r="C14" s="6">
        <f>SUM('Mountaineer:Charles Town'!C13)</f>
        <v>2781157.2699999996</v>
      </c>
      <c r="D14" s="6">
        <f>SUM('Mountaineer:Charles Town'!D13)</f>
        <v>238384.88</v>
      </c>
      <c r="E14" s="6">
        <f>SUM('Mountaineer:Charles Town'!E13)</f>
        <v>0</v>
      </c>
      <c r="F14" s="6">
        <f>SUM('Mountaineer:Charles Town'!F13)</f>
        <v>198654.09</v>
      </c>
      <c r="G14" s="6">
        <f>SUM('Mountaineer:Charles Town'!G13)</f>
        <v>158923.27000000002</v>
      </c>
      <c r="H14" s="6">
        <f>SUM('Mountaineer:Charles Town'!H13)</f>
        <v>158923.27000000002</v>
      </c>
      <c r="I14" s="6">
        <f>SUM('Mountaineer:Charles Town'!I13)</f>
        <v>238384.88</v>
      </c>
      <c r="J14" s="6">
        <f>SUM('Mountaineer:Charles Town'!J13)</f>
        <v>39730.82</v>
      </c>
      <c r="K14" s="6">
        <f>SUM('Mountaineer:Charles Town'!K13)</f>
        <v>13127.71</v>
      </c>
      <c r="L14" s="6">
        <f>SUM('Mountaineer:Charles Town'!L13)</f>
        <v>1338575.6800000002</v>
      </c>
      <c r="M14" s="6">
        <f>SUM('Mountaineer:Charles Town'!M13)</f>
        <v>70451.350000000006</v>
      </c>
      <c r="N14" s="6">
        <f>SUM('Mountaineer:Charles Town'!N13)</f>
        <v>176127.99</v>
      </c>
      <c r="O14" s="6">
        <f>SUM('Mountaineer:Charles Town'!O13)</f>
        <v>176128</v>
      </c>
    </row>
    <row r="15" spans="1:15" ht="15" customHeight="1" x14ac:dyDescent="0.25">
      <c r="A15" s="13" t="str">
        <f>Mountaineer!A14</f>
        <v>December 2025</v>
      </c>
      <c r="B15" s="6">
        <f>SUM('Mountaineer:Charles Town'!B14)</f>
        <v>7855241.3900000006</v>
      </c>
      <c r="C15" s="6">
        <f>SUM('Mountaineer:Charles Town'!C14)</f>
        <v>2749334.5300000003</v>
      </c>
      <c r="D15" s="6">
        <f>SUM('Mountaineer:Charles Town'!D14)</f>
        <v>235657.24000000002</v>
      </c>
      <c r="E15" s="6">
        <f>SUM('Mountaineer:Charles Town'!E14)</f>
        <v>0</v>
      </c>
      <c r="F15" s="6">
        <f>SUM('Mountaineer:Charles Town'!F14)</f>
        <v>196381.05</v>
      </c>
      <c r="G15" s="6">
        <f>SUM('Mountaineer:Charles Town'!G14)</f>
        <v>157104.84</v>
      </c>
      <c r="H15" s="6">
        <f>SUM('Mountaineer:Charles Town'!H14)</f>
        <v>157104.84</v>
      </c>
      <c r="I15" s="6">
        <f>SUM('Mountaineer:Charles Town'!I14)</f>
        <v>235657.24000000002</v>
      </c>
      <c r="J15" s="6">
        <f>SUM('Mountaineer:Charles Town'!J14)</f>
        <v>39276.22</v>
      </c>
      <c r="K15" s="6">
        <f>SUM('Mountaineer:Charles Town'!K14)</f>
        <v>12431.470000000001</v>
      </c>
      <c r="L15" s="6">
        <f>SUM('Mountaineer:Charles Town'!L14)</f>
        <v>1322844.29</v>
      </c>
      <c r="M15" s="6">
        <f>SUM('Mountaineer:Charles Town'!M14)</f>
        <v>69623.38</v>
      </c>
      <c r="N15" s="6">
        <f>SUM('Mountaineer:Charles Town'!N14)</f>
        <v>174058.41</v>
      </c>
      <c r="O15" s="6">
        <f>SUM('Mountaineer:Charles Town'!O14)</f>
        <v>174060</v>
      </c>
    </row>
    <row r="16" spans="1:15" ht="15" customHeight="1" x14ac:dyDescent="0.25">
      <c r="A16" s="13" t="str">
        <f>Mountaineer!A15</f>
        <v>January 2026</v>
      </c>
      <c r="B16" s="6">
        <f>SUM('Mountaineer:Charles Town'!B15)</f>
        <v>7912579.6299999999</v>
      </c>
      <c r="C16" s="6">
        <f>SUM('Mountaineer:Charles Town'!C15)+0.01</f>
        <v>2769402.9</v>
      </c>
      <c r="D16" s="6">
        <f>SUM('Mountaineer:Charles Town'!D15)</f>
        <v>237377.41999999998</v>
      </c>
      <c r="E16" s="6">
        <f>SUM('Mountaineer:Charles Town'!E15)</f>
        <v>0</v>
      </c>
      <c r="F16" s="6">
        <f>SUM('Mountaineer:Charles Town'!F15)</f>
        <v>197814.49</v>
      </c>
      <c r="G16" s="6">
        <f>SUM('Mountaineer:Charles Town'!G15)</f>
        <v>158251.60999999999</v>
      </c>
      <c r="H16" s="6">
        <f>SUM('Mountaineer:Charles Town'!H15)</f>
        <v>158251.60999999999</v>
      </c>
      <c r="I16" s="6">
        <f>SUM('Mountaineer:Charles Town'!I15)</f>
        <v>237377.41999999998</v>
      </c>
      <c r="J16" s="6">
        <f>SUM('Mountaineer:Charles Town'!J15)</f>
        <v>39562.9</v>
      </c>
      <c r="K16" s="6">
        <f>SUM('Mountaineer:Charles Town'!K15)</f>
        <v>13245.73</v>
      </c>
      <c r="L16" s="6">
        <f>SUM('Mountaineer:Charles Town'!L15)</f>
        <v>1333050</v>
      </c>
      <c r="M16" s="6">
        <f>SUM('Mountaineer:Charles Town'!M15)</f>
        <v>70160.53</v>
      </c>
      <c r="N16" s="6">
        <f>SUM('Mountaineer:Charles Town'!N15)</f>
        <v>175401.75</v>
      </c>
      <c r="O16" s="6">
        <f>SUM('Mountaineer:Charles Town'!O15)</f>
        <v>175400</v>
      </c>
    </row>
    <row r="17" spans="1:15" ht="13.5" customHeight="1" x14ac:dyDescent="0.25"/>
    <row r="18" spans="1:15" ht="15" customHeight="1" thickBot="1" x14ac:dyDescent="0.3">
      <c r="B18" s="7">
        <f t="shared" ref="B18:O18" si="0">SUM(B10:B17)</f>
        <v>54583511.710000001</v>
      </c>
      <c r="C18" s="7">
        <f t="shared" si="0"/>
        <v>19104229.209999997</v>
      </c>
      <c r="D18" s="7">
        <f t="shared" si="0"/>
        <v>1637505.3800000001</v>
      </c>
      <c r="E18" s="7">
        <f t="shared" si="0"/>
        <v>12181.42</v>
      </c>
      <c r="F18" s="7">
        <f t="shared" si="0"/>
        <v>1357820.3299999998</v>
      </c>
      <c r="G18" s="7">
        <f t="shared" si="0"/>
        <v>1086256.33</v>
      </c>
      <c r="H18" s="7">
        <f t="shared" si="0"/>
        <v>1091670.2999999998</v>
      </c>
      <c r="I18" s="7">
        <f t="shared" si="0"/>
        <v>1637505.3800000001</v>
      </c>
      <c r="J18" s="7">
        <f t="shared" si="0"/>
        <v>272917.58</v>
      </c>
      <c r="K18" s="7">
        <f t="shared" si="0"/>
        <v>93315.659999999989</v>
      </c>
      <c r="L18" s="7">
        <f t="shared" si="0"/>
        <v>9197282.9699999988</v>
      </c>
      <c r="M18" s="7">
        <f t="shared" si="0"/>
        <v>484067.51</v>
      </c>
      <c r="N18" s="7">
        <f t="shared" si="0"/>
        <v>1210168.8</v>
      </c>
      <c r="O18" s="7">
        <f t="shared" si="0"/>
        <v>1210168</v>
      </c>
    </row>
    <row r="19" spans="1:15" ht="15" customHeight="1" thickTop="1" x14ac:dyDescent="0.25"/>
    <row r="20" spans="1:15" ht="15" customHeight="1" x14ac:dyDescent="0.25">
      <c r="A20" s="8" t="s">
        <v>14</v>
      </c>
    </row>
    <row r="21" spans="1:15" ht="15" customHeight="1" x14ac:dyDescent="0.25">
      <c r="A21" s="8" t="s">
        <v>15</v>
      </c>
    </row>
  </sheetData>
  <mergeCells count="4">
    <mergeCell ref="A1:O1"/>
    <mergeCell ref="A2:O2"/>
    <mergeCell ref="A3:O3"/>
    <mergeCell ref="A4:O4"/>
  </mergeCells>
  <pageMargins left="0.25" right="0.25" top="0.5" bottom="0.5" header="0" footer="0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0"/>
  <sheetViews>
    <sheetView workbookViewId="0">
      <selection activeCell="I20" sqref="I20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3.5703125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5.140625" style="1" bestFit="1" customWidth="1"/>
    <col min="16" max="16384" width="9.140625" style="1"/>
  </cols>
  <sheetData>
    <row r="1" spans="1:15" ht="15" customHeight="1" x14ac:dyDescent="0.25">
      <c r="A1" s="27" t="s">
        <v>18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15" customHeight="1" x14ac:dyDescent="0.25">
      <c r="A2" s="10"/>
    </row>
    <row r="3" spans="1:15" ht="15" customHeight="1" x14ac:dyDescent="0.25">
      <c r="A3" s="9"/>
    </row>
    <row r="4" spans="1:15" ht="45" customHeight="1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5" t="s">
        <v>27</v>
      </c>
      <c r="B5" s="6">
        <v>9891967.25</v>
      </c>
      <c r="C5" s="6">
        <v>3462188.6</v>
      </c>
      <c r="D5" s="6">
        <v>296759.02</v>
      </c>
      <c r="E5" s="6">
        <v>44513.840000000011</v>
      </c>
      <c r="F5" s="6">
        <v>222569.26</v>
      </c>
      <c r="G5" s="6">
        <v>178055.41999999998</v>
      </c>
      <c r="H5" s="6">
        <v>197839.34999999998</v>
      </c>
      <c r="I5" s="6">
        <v>296759.02</v>
      </c>
      <c r="J5" s="6">
        <v>49459.820000000007</v>
      </c>
      <c r="K5" s="6">
        <v>60385.37000000001</v>
      </c>
      <c r="L5" s="6">
        <v>1699829.8500000003</v>
      </c>
      <c r="M5" s="6">
        <v>89464.73</v>
      </c>
      <c r="N5" s="6">
        <v>223661.94</v>
      </c>
      <c r="O5" s="6">
        <v>223661.79</v>
      </c>
    </row>
    <row r="7" spans="1:15" ht="15" customHeight="1" x14ac:dyDescent="0.25">
      <c r="A7" s="28" t="s">
        <v>26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9" spans="1:15" ht="14.25" customHeight="1" x14ac:dyDescent="0.25">
      <c r="A9" s="14" t="s">
        <v>25</v>
      </c>
      <c r="B9" s="16">
        <v>1001379.5</v>
      </c>
      <c r="C9" s="16">
        <f>ROUND($B9*0.35,2)+0.01</f>
        <v>350482.84</v>
      </c>
      <c r="D9" s="16">
        <f>ROUND($B9*0.03,2)-0.01</f>
        <v>30041.38</v>
      </c>
      <c r="E9" s="16">
        <v>942.7</v>
      </c>
      <c r="F9" s="16">
        <v>24510.77</v>
      </c>
      <c r="G9" s="16">
        <v>19608.61</v>
      </c>
      <c r="H9" s="16">
        <f t="shared" ref="H9:H13" si="0">ROUND($B9*0.02,2)</f>
        <v>20027.59</v>
      </c>
      <c r="I9" s="16">
        <f>ROUND($B9*0.03,2)-0.01</f>
        <v>30041.38</v>
      </c>
      <c r="J9" s="16">
        <f t="shared" ref="J9:J10" si="1">ROUND($B9*0.005,2)</f>
        <v>5006.8999999999996</v>
      </c>
      <c r="K9" s="16">
        <v>4150.84</v>
      </c>
      <c r="L9" s="16">
        <f>ROUND((($B9*0.22)+$K9)*0.76,2)+0.01</f>
        <v>170585.30000000002</v>
      </c>
      <c r="M9" s="16">
        <f t="shared" ref="M9:M15" si="2">ROUND((($B9*0.22)+$K9)*0.04,2)</f>
        <v>8978.17</v>
      </c>
      <c r="N9" s="16">
        <f>ROUND((($B9*0.22)+$K9)*0.1,2)+0.02</f>
        <v>22445.45</v>
      </c>
      <c r="O9" s="16">
        <f>ROUND((($B9*0.22)+$K9)*0.1,2)+0.01</f>
        <v>22445.439999999999</v>
      </c>
    </row>
    <row r="10" spans="1:15" ht="14.25" customHeight="1" x14ac:dyDescent="0.25">
      <c r="A10" s="18" t="s">
        <v>30</v>
      </c>
      <c r="B10" s="16">
        <v>960682.5</v>
      </c>
      <c r="C10" s="16">
        <f>ROUND($B10*0.35,2)-0.01</f>
        <v>336238.87</v>
      </c>
      <c r="D10" s="16">
        <f>ROUND($B10*0.03,2)</f>
        <v>28820.48</v>
      </c>
      <c r="E10" s="16">
        <v>0</v>
      </c>
      <c r="F10" s="16">
        <f t="shared" ref="F10:F15" si="3">ROUND($B10*0.025,2)</f>
        <v>24017.06</v>
      </c>
      <c r="G10" s="16">
        <f>ROUND($B10*0.02,2)</f>
        <v>19213.650000000001</v>
      </c>
      <c r="H10" s="16">
        <f t="shared" si="0"/>
        <v>19213.650000000001</v>
      </c>
      <c r="I10" s="16">
        <f>ROUND($B10*0.03,2)</f>
        <v>28820.48</v>
      </c>
      <c r="J10" s="16">
        <f t="shared" si="1"/>
        <v>4803.41</v>
      </c>
      <c r="K10" s="16">
        <v>3646.76</v>
      </c>
      <c r="L10" s="16">
        <f>ROUND((($B10*0.22)+$K10)*0.76,2)-0.01</f>
        <v>163397.63999999998</v>
      </c>
      <c r="M10" s="16">
        <f t="shared" si="2"/>
        <v>8599.8799999999992</v>
      </c>
      <c r="N10" s="16">
        <f>ROUND((($B10*0.22)+$K10)*0.1,2)-0.11</f>
        <v>21499.579999999998</v>
      </c>
      <c r="O10" s="16">
        <f>ROUND((($B10*0.22)+$K10)*0.1,2)+0.05</f>
        <v>21499.739999999998</v>
      </c>
    </row>
    <row r="11" spans="1:15" ht="14.25" customHeight="1" x14ac:dyDescent="0.25">
      <c r="A11" s="19" t="s">
        <v>31</v>
      </c>
      <c r="B11" s="16">
        <v>927063.25</v>
      </c>
      <c r="C11" s="16">
        <f>ROUND($B11*0.35,2)</f>
        <v>324472.14</v>
      </c>
      <c r="D11" s="16">
        <f>ROUND($B11*0.03,2)</f>
        <v>27811.9</v>
      </c>
      <c r="E11" s="16">
        <v>0</v>
      </c>
      <c r="F11" s="16">
        <f t="shared" si="3"/>
        <v>23176.58</v>
      </c>
      <c r="G11" s="16">
        <f>ROUND($B11*0.02,2)</f>
        <v>18541.27</v>
      </c>
      <c r="H11" s="16">
        <f t="shared" si="0"/>
        <v>18541.27</v>
      </c>
      <c r="I11" s="16">
        <f>ROUND($B11*0.03,2)</f>
        <v>27811.9</v>
      </c>
      <c r="J11" s="16">
        <f>ROUND($B11*0.005,2)-0.01</f>
        <v>4635.3099999999995</v>
      </c>
      <c r="K11" s="16">
        <v>2679.05</v>
      </c>
      <c r="L11" s="16">
        <f>ROUND((($B11*0.22)+$K11)*0.76,2)-0.01</f>
        <v>157041.03999999998</v>
      </c>
      <c r="M11" s="16">
        <f t="shared" si="2"/>
        <v>8265.32</v>
      </c>
      <c r="N11" s="16">
        <f>ROUND((($B11*0.22)+$K11)*0.1,2)+0.03</f>
        <v>20663.329999999998</v>
      </c>
      <c r="O11" s="16">
        <f>ROUND((($B11*0.22)+$K11)*0.1,2)-0.21</f>
        <v>20663.09</v>
      </c>
    </row>
    <row r="12" spans="1:15" ht="14.25" customHeight="1" x14ac:dyDescent="0.25">
      <c r="A12" s="20" t="s">
        <v>32</v>
      </c>
      <c r="B12" s="16">
        <v>709475.25</v>
      </c>
      <c r="C12" s="16">
        <f>ROUND($B12*0.35,2)-0.02</f>
        <v>248316.32</v>
      </c>
      <c r="D12" s="16">
        <f>ROUND($B12*0.03,2)</f>
        <v>21284.26</v>
      </c>
      <c r="E12" s="16">
        <v>0</v>
      </c>
      <c r="F12" s="16">
        <f t="shared" si="3"/>
        <v>17736.88</v>
      </c>
      <c r="G12" s="16">
        <f>ROUND($B12*0.02,2)</f>
        <v>14189.51</v>
      </c>
      <c r="H12" s="16">
        <f t="shared" si="0"/>
        <v>14189.51</v>
      </c>
      <c r="I12" s="16">
        <f>ROUND($B12*0.03,2)</f>
        <v>21284.26</v>
      </c>
      <c r="J12" s="16">
        <f>ROUND($B12*0.005,2)-0.01</f>
        <v>3547.37</v>
      </c>
      <c r="K12" s="16">
        <v>3151.04</v>
      </c>
      <c r="L12" s="16">
        <f>ROUND((($B12*0.22)+$K12)*0.76,2)-0.02</f>
        <v>121019.03</v>
      </c>
      <c r="M12" s="16">
        <f t="shared" si="2"/>
        <v>6369.42</v>
      </c>
      <c r="N12" s="16">
        <f>ROUND((($B12*0.22)+$K12)*0.1,2)+0.06</f>
        <v>15923.619999999999</v>
      </c>
      <c r="O12" s="16">
        <f>ROUND((($B12*0.22)+$K12)*0.1,2)-0.02</f>
        <v>15923.539999999999</v>
      </c>
    </row>
    <row r="13" spans="1:15" ht="14.25" customHeight="1" x14ac:dyDescent="0.25">
      <c r="A13" s="22" t="s">
        <v>34</v>
      </c>
      <c r="B13" s="16">
        <v>1036337</v>
      </c>
      <c r="C13" s="16">
        <f>ROUND($B13*0.35,2)</f>
        <v>362717.95</v>
      </c>
      <c r="D13" s="16">
        <f>ROUND($B13*0.03,2)-0.01</f>
        <v>31090.100000000002</v>
      </c>
      <c r="E13" s="16">
        <v>0</v>
      </c>
      <c r="F13" s="16">
        <f t="shared" si="3"/>
        <v>25908.43</v>
      </c>
      <c r="G13" s="16">
        <f>ROUND($B13*0.02,2)</f>
        <v>20726.740000000002</v>
      </c>
      <c r="H13" s="16">
        <f t="shared" si="0"/>
        <v>20726.740000000002</v>
      </c>
      <c r="I13" s="16">
        <f>ROUND($B13*0.03,2)-0.01</f>
        <v>31090.100000000002</v>
      </c>
      <c r="J13" s="16">
        <f>ROUND($B13*0.005,2)</f>
        <v>5181.6899999999996</v>
      </c>
      <c r="K13" s="16">
        <v>3281.93</v>
      </c>
      <c r="L13" s="16">
        <f>ROUND((($B13*0.22)+$K13)*0.76,2)+0.01</f>
        <v>175769.82</v>
      </c>
      <c r="M13" s="16">
        <f t="shared" si="2"/>
        <v>9251.0400000000009</v>
      </c>
      <c r="N13" s="16">
        <f>ROUND((($B13*0.22)+$K13)*0.1,2)-0.09</f>
        <v>23127.52</v>
      </c>
      <c r="O13" s="16">
        <f>ROUND((($B13*0.22)+$K13)*0.1,2)-0.09</f>
        <v>23127.52</v>
      </c>
    </row>
    <row r="14" spans="1:15" ht="14.25" customHeight="1" x14ac:dyDescent="0.25">
      <c r="A14" s="23" t="s">
        <v>35</v>
      </c>
      <c r="B14" s="16">
        <v>607722.25</v>
      </c>
      <c r="C14" s="16">
        <f>ROUND($B14*0.35,2)+0.01</f>
        <v>212702.80000000002</v>
      </c>
      <c r="D14" s="16">
        <f>ROUND($B14*0.03,2)-0.01</f>
        <v>18231.66</v>
      </c>
      <c r="E14" s="16">
        <v>0</v>
      </c>
      <c r="F14" s="16">
        <f t="shared" si="3"/>
        <v>15193.06</v>
      </c>
      <c r="G14" s="16">
        <f>ROUND($B14*0.02,2)-0.01</f>
        <v>12154.44</v>
      </c>
      <c r="H14" s="16">
        <f>ROUND($B14*0.02,2)-0.01</f>
        <v>12154.44</v>
      </c>
      <c r="I14" s="16">
        <f>ROUND($B14*0.03,2)-0.01</f>
        <v>18231.66</v>
      </c>
      <c r="J14" s="16">
        <f>ROUND($B14*0.005,2)</f>
        <v>3038.61</v>
      </c>
      <c r="K14" s="16">
        <v>3107.87</v>
      </c>
      <c r="L14" s="16">
        <f>ROUND((($B14*0.22)+$K14)*0.76,2)+0.03</f>
        <v>103973.17</v>
      </c>
      <c r="M14" s="16">
        <f t="shared" si="2"/>
        <v>5472.27</v>
      </c>
      <c r="N14" s="16">
        <f>ROUND((($B14*0.22)+$K14)*0.1,2)-0.01</f>
        <v>13680.67</v>
      </c>
      <c r="O14" s="16">
        <f>ROUND((($B14*0.22)+$K14)*0.1,2)+0.39</f>
        <v>13681.07</v>
      </c>
    </row>
    <row r="15" spans="1:15" ht="14.25" customHeight="1" x14ac:dyDescent="0.25">
      <c r="A15" s="24" t="s">
        <v>37</v>
      </c>
      <c r="B15" s="16">
        <v>863531</v>
      </c>
      <c r="C15" s="16">
        <f>ROUND($B15*0.35,2)</f>
        <v>302235.84999999998</v>
      </c>
      <c r="D15" s="16">
        <f>ROUND($B15*0.03,2)+0.01</f>
        <v>25905.94</v>
      </c>
      <c r="E15" s="16">
        <v>0</v>
      </c>
      <c r="F15" s="16">
        <f t="shared" si="3"/>
        <v>21588.28</v>
      </c>
      <c r="G15" s="16">
        <f>ROUND($B15*0.02,2)</f>
        <v>17270.62</v>
      </c>
      <c r="H15" s="16">
        <f>ROUND($B15*0.02,2)</f>
        <v>17270.62</v>
      </c>
      <c r="I15" s="16">
        <f>ROUND($B15*0.03,2)+0.01</f>
        <v>25905.94</v>
      </c>
      <c r="J15" s="16">
        <f>ROUND($B15*0.005,2)</f>
        <v>4317.66</v>
      </c>
      <c r="K15" s="16">
        <v>3311.43</v>
      </c>
      <c r="L15" s="16">
        <f>ROUND((($B15*0.22)+$K15)*0.76,2)-0.02</f>
        <v>146899.05000000002</v>
      </c>
      <c r="M15" s="16">
        <f t="shared" si="2"/>
        <v>7731.53</v>
      </c>
      <c r="N15" s="16">
        <f>ROUND((($B15*0.22)+$K15)*0.1,2)+0.09</f>
        <v>19328.920000000002</v>
      </c>
      <c r="O15" s="16">
        <f>ROUND((($B15*0.22)+$K15)*0.1,2)-0.34</f>
        <v>19328.490000000002</v>
      </c>
    </row>
    <row r="17" spans="1:15" ht="15" customHeight="1" thickBot="1" x14ac:dyDescent="0.3">
      <c r="B17" s="7">
        <f t="shared" ref="B17:O17" si="4">SUM(B9:B16)</f>
        <v>6106190.75</v>
      </c>
      <c r="C17" s="7">
        <f t="shared" si="4"/>
        <v>2137166.77</v>
      </c>
      <c r="D17" s="7">
        <f t="shared" si="4"/>
        <v>183185.72</v>
      </c>
      <c r="E17" s="7">
        <f t="shared" si="4"/>
        <v>942.7</v>
      </c>
      <c r="F17" s="7">
        <f t="shared" si="4"/>
        <v>152131.06</v>
      </c>
      <c r="G17" s="7">
        <f t="shared" si="4"/>
        <v>121704.84</v>
      </c>
      <c r="H17" s="7">
        <f t="shared" si="4"/>
        <v>122123.82</v>
      </c>
      <c r="I17" s="7">
        <f t="shared" si="4"/>
        <v>183185.72</v>
      </c>
      <c r="J17" s="7">
        <f t="shared" si="4"/>
        <v>30530.949999999997</v>
      </c>
      <c r="K17" s="7">
        <f t="shared" si="4"/>
        <v>23328.920000000002</v>
      </c>
      <c r="L17" s="7">
        <f t="shared" si="4"/>
        <v>1038685.0500000002</v>
      </c>
      <c r="M17" s="7">
        <f t="shared" si="4"/>
        <v>54667.630000000005</v>
      </c>
      <c r="N17" s="7">
        <f t="shared" si="4"/>
        <v>136669.09</v>
      </c>
      <c r="O17" s="7">
        <f t="shared" si="4"/>
        <v>136668.88999999998</v>
      </c>
    </row>
    <row r="18" spans="1:15" ht="15" customHeight="1" thickTop="1" x14ac:dyDescent="0.25"/>
    <row r="19" spans="1:15" ht="15" customHeight="1" x14ac:dyDescent="0.25">
      <c r="A19" s="8" t="s">
        <v>14</v>
      </c>
    </row>
    <row r="20" spans="1:15" ht="15" customHeight="1" x14ac:dyDescent="0.25">
      <c r="A20" s="8" t="s">
        <v>15</v>
      </c>
    </row>
  </sheetData>
  <mergeCells count="2">
    <mergeCell ref="A1:O1"/>
    <mergeCell ref="A7:O7"/>
  </mergeCells>
  <pageMargins left="0.25" right="0.25" top="0.5" bottom="0.5" header="0" footer="0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20"/>
  <sheetViews>
    <sheetView workbookViewId="0">
      <selection activeCell="B15" sqref="B15"/>
    </sheetView>
  </sheetViews>
  <sheetFormatPr defaultColWidth="9.140625" defaultRowHeight="15" customHeight="1" x14ac:dyDescent="0.25"/>
  <cols>
    <col min="1" max="1" width="15.7109375" style="1" customWidth="1"/>
    <col min="2" max="3" width="14.7109375" style="1" customWidth="1"/>
    <col min="4" max="10" width="13.7109375" style="1" customWidth="1"/>
    <col min="11" max="11" width="12.28515625" style="1" customWidth="1"/>
    <col min="12" max="12" width="14.7109375" style="1" customWidth="1"/>
    <col min="13" max="13" width="11.7109375" style="1" customWidth="1"/>
    <col min="14" max="14" width="13.7109375" style="1" customWidth="1"/>
    <col min="15" max="15" width="14.85546875" style="1" customWidth="1"/>
    <col min="16" max="16384" width="9.140625" style="1"/>
  </cols>
  <sheetData>
    <row r="1" spans="1:15" ht="15" customHeight="1" x14ac:dyDescent="0.25">
      <c r="A1" s="27" t="s">
        <v>17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15" customHeight="1" x14ac:dyDescent="0.25">
      <c r="A2" s="10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17" t="s">
        <v>28</v>
      </c>
      <c r="G4" s="17" t="s">
        <v>29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5" t="s">
        <v>27</v>
      </c>
      <c r="B5" s="6">
        <v>6659313.8599999994</v>
      </c>
      <c r="C5" s="6">
        <v>2330759.8500000006</v>
      </c>
      <c r="D5" s="6">
        <v>199779.42</v>
      </c>
      <c r="E5" s="6">
        <v>29966.920000000002</v>
      </c>
      <c r="F5" s="6">
        <v>149834.53999999998</v>
      </c>
      <c r="G5" s="6">
        <v>119867.64</v>
      </c>
      <c r="H5" s="6">
        <v>133186.28</v>
      </c>
      <c r="I5" s="6">
        <v>199779.42</v>
      </c>
      <c r="J5" s="6">
        <v>33296.550000000003</v>
      </c>
      <c r="K5" s="6">
        <v>60385.36</v>
      </c>
      <c r="L5" s="6">
        <v>1159330.1400000004</v>
      </c>
      <c r="M5" s="6">
        <v>61017.380000000005</v>
      </c>
      <c r="N5" s="6">
        <v>152543.57</v>
      </c>
      <c r="O5" s="6">
        <v>152543.41000000003</v>
      </c>
    </row>
    <row r="7" spans="1:15" ht="15" customHeight="1" x14ac:dyDescent="0.25">
      <c r="A7" s="28" t="s">
        <v>26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9" spans="1:15" ht="14.25" customHeight="1" x14ac:dyDescent="0.25">
      <c r="A9" s="13" t="str">
        <f>Mountaineer!A9</f>
        <v>July 2025</v>
      </c>
      <c r="B9" s="16">
        <v>682520.66</v>
      </c>
      <c r="C9" s="16">
        <f>ROUND($B9*0.35,2)</f>
        <v>238882.23</v>
      </c>
      <c r="D9" s="16">
        <f>ROUND($B9*0.03,2)</f>
        <v>20475.62</v>
      </c>
      <c r="E9" s="16">
        <v>744.23</v>
      </c>
      <c r="F9" s="16">
        <v>16649.55</v>
      </c>
      <c r="G9" s="16">
        <v>13319.65</v>
      </c>
      <c r="H9" s="16">
        <f>ROUND($B9*0.02,2)+0.01</f>
        <v>13650.42</v>
      </c>
      <c r="I9" s="16">
        <f>ROUND($B9*0.03,2)</f>
        <v>20475.62</v>
      </c>
      <c r="J9" s="16">
        <f>ROUND($B9*0.005,2)+0.01</f>
        <v>3412.61</v>
      </c>
      <c r="K9" s="16">
        <v>4150.84</v>
      </c>
      <c r="L9" s="16">
        <f>ROUND((($B9*0.22)+$K9)*0.76,2)-0.01</f>
        <v>117272.08</v>
      </c>
      <c r="M9" s="16">
        <f>ROUND((($B9*0.22)+$K9)*0.04,2)-0.01</f>
        <v>6172.21</v>
      </c>
      <c r="N9" s="16">
        <f>ROUND((($B9*0.22)+$K9)*0.1,2)+0.01</f>
        <v>15430.550000000001</v>
      </c>
      <c r="O9" s="16">
        <f>ROUND((($B9*0.22)+$K9)*0.1,2)+0.01</f>
        <v>15430.550000000001</v>
      </c>
    </row>
    <row r="10" spans="1:15" ht="14.25" customHeight="1" x14ac:dyDescent="0.25">
      <c r="A10" s="13" t="str">
        <f>Mountaineer!A10</f>
        <v>August 2025</v>
      </c>
      <c r="B10" s="16">
        <v>695096.35</v>
      </c>
      <c r="C10" s="16">
        <f>ROUND($B10*0.35,2)+0.01</f>
        <v>243283.73</v>
      </c>
      <c r="D10" s="16">
        <f>ROUND($B10*0.03,2)+0.01</f>
        <v>20852.899999999998</v>
      </c>
      <c r="E10" s="16">
        <v>0</v>
      </c>
      <c r="F10" s="16">
        <f>ROUND($B10*0.025,2)-0.01</f>
        <v>17377.400000000001</v>
      </c>
      <c r="G10" s="16">
        <f t="shared" ref="G10:H15" si="0">ROUND($B10*0.02,2)</f>
        <v>13901.93</v>
      </c>
      <c r="H10" s="16">
        <f t="shared" si="0"/>
        <v>13901.93</v>
      </c>
      <c r="I10" s="16">
        <f>ROUND($B10*0.03,2)+0.01</f>
        <v>20852.899999999998</v>
      </c>
      <c r="J10" s="16">
        <f t="shared" ref="J10:J15" si="1">ROUND($B10*0.005,2)</f>
        <v>3475.48</v>
      </c>
      <c r="K10" s="16">
        <v>3646.76</v>
      </c>
      <c r="L10" s="16">
        <f>ROUND((($B10*0.22)+$K10)*0.76,2)-0.02</f>
        <v>118991.62999999999</v>
      </c>
      <c r="M10" s="16">
        <f t="shared" ref="M10:M15" si="2">ROUND((($B10*0.22)+$K10)*0.04,2)</f>
        <v>6262.72</v>
      </c>
      <c r="N10" s="16">
        <f>ROUND((($B10*0.22)+$K10)*0.1,2)-0.1</f>
        <v>15656.699999999999</v>
      </c>
      <c r="O10" s="16">
        <f>ROUND((($B10*0.22)+$K10)*0.1,2)+0.05</f>
        <v>15656.849999999999</v>
      </c>
    </row>
    <row r="11" spans="1:15" ht="14.25" customHeight="1" x14ac:dyDescent="0.25">
      <c r="A11" s="13" t="str">
        <f>Mountaineer!A11</f>
        <v>September 2025</v>
      </c>
      <c r="B11" s="16">
        <v>517080.16</v>
      </c>
      <c r="C11" s="16">
        <f>ROUND($B11*0.35,2)</f>
        <v>180978.06</v>
      </c>
      <c r="D11" s="16">
        <f>ROUND($B11*0.03,2)</f>
        <v>15512.4</v>
      </c>
      <c r="E11" s="16">
        <v>0</v>
      </c>
      <c r="F11" s="16">
        <f>ROUND($B11*0.025,2)</f>
        <v>12927</v>
      </c>
      <c r="G11" s="16">
        <f t="shared" si="0"/>
        <v>10341.6</v>
      </c>
      <c r="H11" s="16">
        <f t="shared" si="0"/>
        <v>10341.6</v>
      </c>
      <c r="I11" s="16">
        <f>ROUND($B11*0.03,2)</f>
        <v>15512.4</v>
      </c>
      <c r="J11" s="16">
        <f t="shared" si="1"/>
        <v>2585.4</v>
      </c>
      <c r="K11" s="16">
        <v>2679.05</v>
      </c>
      <c r="L11" s="16">
        <f>ROUND((($B11*0.22)+$K11)*0.76,2)+0.02</f>
        <v>88491.900000000009</v>
      </c>
      <c r="M11" s="16">
        <f t="shared" si="2"/>
        <v>4657.47</v>
      </c>
      <c r="N11" s="16">
        <f>ROUND((($B11*0.22)+$K11)*0.1,2)+0.02</f>
        <v>11643.69</v>
      </c>
      <c r="O11" s="16">
        <f>ROUND((($B11*0.22)+$K11)*0.1,2)-0.21</f>
        <v>11643.460000000001</v>
      </c>
    </row>
    <row r="12" spans="1:15" ht="14.25" customHeight="1" x14ac:dyDescent="0.25">
      <c r="A12" s="13" t="str">
        <f>Mountaineer!A12</f>
        <v>October 2025</v>
      </c>
      <c r="B12" s="16">
        <v>385813.65</v>
      </c>
      <c r="C12" s="16">
        <f>ROUND($B12*0.35,2)-0.01</f>
        <v>135034.76999999999</v>
      </c>
      <c r="D12" s="16">
        <f>ROUND($B12*0.03,2)-0.01</f>
        <v>11574.4</v>
      </c>
      <c r="E12" s="16">
        <v>0</v>
      </c>
      <c r="F12" s="16">
        <f>ROUND($B12*0.025,2)</f>
        <v>9645.34</v>
      </c>
      <c r="G12" s="16">
        <f t="shared" si="0"/>
        <v>7716.27</v>
      </c>
      <c r="H12" s="16">
        <f t="shared" si="0"/>
        <v>7716.27</v>
      </c>
      <c r="I12" s="16">
        <f>ROUND($B12*0.03,2)-0.01</f>
        <v>11574.4</v>
      </c>
      <c r="J12" s="16">
        <f t="shared" si="1"/>
        <v>1929.07</v>
      </c>
      <c r="K12" s="16">
        <v>3151.03</v>
      </c>
      <c r="L12" s="16">
        <f>ROUND((($B12*0.22)+$K12)*0.76,2)</f>
        <v>66902.83</v>
      </c>
      <c r="M12" s="16">
        <f t="shared" si="2"/>
        <v>3521.2</v>
      </c>
      <c r="N12" s="16">
        <f>ROUND((($B12*0.22)+$K12)*0.1,2)+0.07</f>
        <v>8803.07</v>
      </c>
      <c r="O12" s="16">
        <f>ROUND((($B12*0.22)+$K12)*0.1,2)-0.01</f>
        <v>8802.99</v>
      </c>
    </row>
    <row r="13" spans="1:15" ht="14.25" customHeight="1" x14ac:dyDescent="0.25">
      <c r="A13" s="13" t="str">
        <f>Mountaineer!A13</f>
        <v>November 2025</v>
      </c>
      <c r="B13" s="16">
        <v>478001.32</v>
      </c>
      <c r="C13" s="16">
        <f>ROUND($B13*0.35,2)+0.02</f>
        <v>167300.47999999998</v>
      </c>
      <c r="D13" s="16">
        <f>ROUND($B13*0.03,2)</f>
        <v>14340.04</v>
      </c>
      <c r="E13" s="16">
        <v>0</v>
      </c>
      <c r="F13" s="16">
        <f>ROUND($B13*0.025,2)</f>
        <v>11950.03</v>
      </c>
      <c r="G13" s="16">
        <f t="shared" si="0"/>
        <v>9560.0300000000007</v>
      </c>
      <c r="H13" s="16">
        <f t="shared" si="0"/>
        <v>9560.0300000000007</v>
      </c>
      <c r="I13" s="16">
        <f>ROUND($B13*0.03,2)</f>
        <v>14340.04</v>
      </c>
      <c r="J13" s="16">
        <f t="shared" si="1"/>
        <v>2390.0100000000002</v>
      </c>
      <c r="K13" s="16">
        <v>3281.93</v>
      </c>
      <c r="L13" s="16">
        <f>ROUND((($B13*0.22)+$K13)*0.76,2)+0.01</f>
        <v>82416.099999999991</v>
      </c>
      <c r="M13" s="16">
        <f t="shared" si="2"/>
        <v>4337.6899999999996</v>
      </c>
      <c r="N13" s="16">
        <f>ROUND((($B13*0.22)+$K13)*0.1,2)-0.09</f>
        <v>10844.13</v>
      </c>
      <c r="O13" s="16">
        <f>ROUND((($B13*0.22)+$K13)*0.1,2)-0.09</f>
        <v>10844.13</v>
      </c>
    </row>
    <row r="14" spans="1:15" ht="14.25" customHeight="1" x14ac:dyDescent="0.25">
      <c r="A14" s="13" t="str">
        <f>Mountaineer!A14</f>
        <v>December 2025</v>
      </c>
      <c r="B14" s="16">
        <v>769453.39</v>
      </c>
      <c r="C14" s="16">
        <f>ROUND($B14*0.35,2)</f>
        <v>269308.69</v>
      </c>
      <c r="D14" s="16">
        <f>ROUND($B14*0.03,2)</f>
        <v>23083.599999999999</v>
      </c>
      <c r="E14" s="16">
        <v>0</v>
      </c>
      <c r="F14" s="16">
        <f>ROUND($B14*0.025,2)+0.01</f>
        <v>19236.34</v>
      </c>
      <c r="G14" s="16">
        <f t="shared" si="0"/>
        <v>15389.07</v>
      </c>
      <c r="H14" s="16">
        <f t="shared" si="0"/>
        <v>15389.07</v>
      </c>
      <c r="I14" s="16">
        <f>ROUND($B14*0.03,2)</f>
        <v>23083.599999999999</v>
      </c>
      <c r="J14" s="16">
        <f t="shared" si="1"/>
        <v>3847.27</v>
      </c>
      <c r="K14" s="16">
        <v>3107.87</v>
      </c>
      <c r="L14" s="16">
        <f>ROUND((($B14*0.22)+$K14)*0.76,2)</f>
        <v>131014.59</v>
      </c>
      <c r="M14" s="16">
        <f t="shared" si="2"/>
        <v>6895.5</v>
      </c>
      <c r="N14" s="16">
        <f>ROUND((($B14*0.22)+$K14)*0.1,2)-0.01</f>
        <v>17238.75</v>
      </c>
      <c r="O14" s="16">
        <f>ROUND((($B14*0.22)+$K14)*0.1,2)+0.38</f>
        <v>17239.14</v>
      </c>
    </row>
    <row r="15" spans="1:15" ht="14.25" customHeight="1" x14ac:dyDescent="0.25">
      <c r="A15" s="13" t="str">
        <f>Mountaineer!A15</f>
        <v>January 2026</v>
      </c>
      <c r="B15" s="16">
        <v>511603.13</v>
      </c>
      <c r="C15" s="16">
        <f>ROUND($B15*0.35,2)+0.01</f>
        <v>179061.11000000002</v>
      </c>
      <c r="D15" s="16">
        <f>ROUND($B15*0.03,2)+0.01</f>
        <v>15348.1</v>
      </c>
      <c r="E15" s="16">
        <v>0</v>
      </c>
      <c r="F15" s="16">
        <f>ROUND($B15*0.025,2)</f>
        <v>12790.08</v>
      </c>
      <c r="G15" s="16">
        <f t="shared" si="0"/>
        <v>10232.06</v>
      </c>
      <c r="H15" s="16">
        <f t="shared" si="0"/>
        <v>10232.06</v>
      </c>
      <c r="I15" s="16">
        <f>ROUND($B15*0.03,2)+0.01</f>
        <v>15348.1</v>
      </c>
      <c r="J15" s="16">
        <f>ROUND($B15*0.005,2)-0.01</f>
        <v>2558.0099999999998</v>
      </c>
      <c r="K15" s="16">
        <v>3311.43</v>
      </c>
      <c r="L15" s="16">
        <f>ROUND((($B15*0.22)+$K15)*0.76,2)+0.01</f>
        <v>88056.739999999991</v>
      </c>
      <c r="M15" s="16">
        <f>ROUND((($B15*0.22)+$K15)*0.04,2)+0.01</f>
        <v>4634.5700000000006</v>
      </c>
      <c r="N15" s="16">
        <f>ROUND((($B15*0.22)+$K15)*0.1,2)+0.1</f>
        <v>11586.51</v>
      </c>
      <c r="O15" s="16">
        <f>ROUND((($B15*0.22)+$K15)*0.1,2)-0.32</f>
        <v>11586.09</v>
      </c>
    </row>
    <row r="17" spans="1:15" ht="15" customHeight="1" thickBot="1" x14ac:dyDescent="0.3">
      <c r="B17" s="7">
        <f t="shared" ref="B17:O17" si="3">SUM(B9:B16)</f>
        <v>4039568.6599999997</v>
      </c>
      <c r="C17" s="7">
        <f t="shared" si="3"/>
        <v>1413849.07</v>
      </c>
      <c r="D17" s="7">
        <f t="shared" si="3"/>
        <v>121187.06</v>
      </c>
      <c r="E17" s="7">
        <f t="shared" si="3"/>
        <v>744.23</v>
      </c>
      <c r="F17" s="7">
        <f t="shared" si="3"/>
        <v>100575.73999999999</v>
      </c>
      <c r="G17" s="7">
        <f t="shared" si="3"/>
        <v>80460.609999999986</v>
      </c>
      <c r="H17" s="7">
        <f t="shared" si="3"/>
        <v>80791.38</v>
      </c>
      <c r="I17" s="7">
        <f t="shared" si="3"/>
        <v>121187.06</v>
      </c>
      <c r="J17" s="7">
        <f t="shared" si="3"/>
        <v>20197.849999999999</v>
      </c>
      <c r="K17" s="7">
        <f t="shared" si="3"/>
        <v>23328.91</v>
      </c>
      <c r="L17" s="7">
        <f t="shared" si="3"/>
        <v>693145.87</v>
      </c>
      <c r="M17" s="7">
        <f t="shared" si="3"/>
        <v>36481.360000000001</v>
      </c>
      <c r="N17" s="7">
        <f t="shared" si="3"/>
        <v>91203.4</v>
      </c>
      <c r="O17" s="7">
        <f t="shared" si="3"/>
        <v>91203.209999999992</v>
      </c>
    </row>
    <row r="18" spans="1:15" ht="15" customHeight="1" thickTop="1" x14ac:dyDescent="0.25"/>
    <row r="19" spans="1:15" ht="15" customHeight="1" x14ac:dyDescent="0.25">
      <c r="A19" s="8" t="s">
        <v>14</v>
      </c>
    </row>
    <row r="20" spans="1:15" ht="15" customHeight="1" x14ac:dyDescent="0.25">
      <c r="A20" s="8" t="s">
        <v>15</v>
      </c>
    </row>
  </sheetData>
  <mergeCells count="2">
    <mergeCell ref="A1:O1"/>
    <mergeCell ref="A7:O7"/>
  </mergeCells>
  <pageMargins left="0.25" right="0.25" top="0.5" bottom="0.5" header="0" footer="0"/>
  <pageSetup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20"/>
  <sheetViews>
    <sheetView workbookViewId="0">
      <selection activeCell="O15" sqref="O15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4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4.7109375" style="1" customWidth="1"/>
    <col min="16" max="16384" width="9.140625" style="1"/>
  </cols>
  <sheetData>
    <row r="1" spans="1:15" ht="15" customHeight="1" x14ac:dyDescent="0.25">
      <c r="A1" s="27" t="s">
        <v>16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15" customHeight="1" x14ac:dyDescent="0.25">
      <c r="A2" s="11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17" t="s">
        <v>28</v>
      </c>
      <c r="G4" s="17" t="s">
        <v>29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5" t="s">
        <v>27</v>
      </c>
      <c r="B5" s="6">
        <v>15840983.480000004</v>
      </c>
      <c r="C5" s="6">
        <v>5544344.2799999993</v>
      </c>
      <c r="D5" s="6">
        <v>475229.52</v>
      </c>
      <c r="E5" s="6">
        <v>71284.42</v>
      </c>
      <c r="F5" s="6">
        <v>356422.14</v>
      </c>
      <c r="G5" s="6">
        <v>285137.72000000003</v>
      </c>
      <c r="H5" s="6">
        <v>316819.69999999995</v>
      </c>
      <c r="I5" s="6">
        <v>475229.52</v>
      </c>
      <c r="J5" s="6">
        <v>79204.929999999993</v>
      </c>
      <c r="K5" s="6">
        <v>60385.37000000001</v>
      </c>
      <c r="L5" s="6">
        <v>2694505.27</v>
      </c>
      <c r="M5" s="6">
        <v>141816.09000000003</v>
      </c>
      <c r="N5" s="6">
        <v>354540.29000000004</v>
      </c>
      <c r="O5" s="6">
        <v>354540.11000000004</v>
      </c>
    </row>
    <row r="7" spans="1:15" ht="15" customHeight="1" x14ac:dyDescent="0.25">
      <c r="A7" s="28" t="s">
        <v>26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9" spans="1:15" ht="14.25" customHeight="1" x14ac:dyDescent="0.25">
      <c r="A9" s="13" t="str">
        <f>Mountaineer!A9</f>
        <v>July 2025</v>
      </c>
      <c r="B9" s="16">
        <v>1012180.01</v>
      </c>
      <c r="C9" s="16">
        <f>ROUND($B9*0.35,2)</f>
        <v>354263</v>
      </c>
      <c r="D9" s="16">
        <f>ROUND($B9*0.03,2)</f>
        <v>30365.4</v>
      </c>
      <c r="E9" s="16">
        <v>1228.0899999999999</v>
      </c>
      <c r="F9" s="16">
        <v>24622.23</v>
      </c>
      <c r="G9" s="16">
        <v>19697.78</v>
      </c>
      <c r="H9" s="16">
        <f t="shared" ref="H9:H15" si="0">ROUND($B9*0.02,2)</f>
        <v>20243.599999999999</v>
      </c>
      <c r="I9" s="16">
        <f>ROUND($B9*0.03,2)</f>
        <v>30365.4</v>
      </c>
      <c r="J9" s="16">
        <f t="shared" ref="J9:J13" si="1">ROUND($B9*0.005,2)</f>
        <v>5060.8999999999996</v>
      </c>
      <c r="K9" s="16">
        <v>4150.8500000000004</v>
      </c>
      <c r="L9" s="16">
        <f>ROUND((($B9*0.22)+$K9)*0.76,2)+0.01</f>
        <v>172391.15000000002</v>
      </c>
      <c r="M9" s="16">
        <f t="shared" ref="M9" si="2">ROUND((($B9*0.22)+$K9)*0.04,2)</f>
        <v>9073.2199999999993</v>
      </c>
      <c r="N9" s="16">
        <f>ROUND((($B9*0.22)+$K9)*0.1,2)</f>
        <v>22683.05</v>
      </c>
      <c r="O9" s="16">
        <f>ROUND((($B9*0.22)+$K9)*0.1,2)</f>
        <v>22683.05</v>
      </c>
    </row>
    <row r="10" spans="1:15" ht="14.25" customHeight="1" x14ac:dyDescent="0.25">
      <c r="A10" s="13" t="str">
        <f>Mountaineer!A10</f>
        <v>August 2025</v>
      </c>
      <c r="B10" s="16">
        <v>1364949.41</v>
      </c>
      <c r="C10" s="16">
        <f>ROUND($B10*0.35,2)</f>
        <v>477732.29</v>
      </c>
      <c r="D10" s="16">
        <f>ROUND($B10*0.03,2)</f>
        <v>40948.480000000003</v>
      </c>
      <c r="E10" s="16">
        <v>0</v>
      </c>
      <c r="F10" s="16">
        <f t="shared" ref="F10:F15" si="3">ROUND($B10*0.025,2)</f>
        <v>34123.74</v>
      </c>
      <c r="G10" s="16">
        <f t="shared" ref="G10:G15" si="4">ROUND($B10*0.02,2)</f>
        <v>27298.99</v>
      </c>
      <c r="H10" s="16">
        <f t="shared" si="0"/>
        <v>27298.99</v>
      </c>
      <c r="I10" s="16">
        <f>ROUND($B10*0.03,2)</f>
        <v>40948.480000000003</v>
      </c>
      <c r="J10" s="16">
        <f t="shared" si="1"/>
        <v>6824.75</v>
      </c>
      <c r="K10" s="16">
        <v>3646.76</v>
      </c>
      <c r="L10" s="16">
        <f>ROUND((($B10*0.22)+$K10)*0.76,2)</f>
        <v>230991.08</v>
      </c>
      <c r="M10" s="16">
        <f>ROUND((($B10*0.22)+$K10)*0.04,2)-0.01</f>
        <v>12157.42</v>
      </c>
      <c r="N10" s="16">
        <f>ROUND((($B10*0.22)+$K10)*0.1,2)-0.1</f>
        <v>30393.460000000003</v>
      </c>
      <c r="O10" s="16">
        <f>ROUND((($B10*0.22)+$K10)*0.1,2)+0.05</f>
        <v>30393.61</v>
      </c>
    </row>
    <row r="11" spans="1:15" ht="14.25" customHeight="1" x14ac:dyDescent="0.25">
      <c r="A11" s="13" t="str">
        <f>Mountaineer!A11</f>
        <v>September 2025</v>
      </c>
      <c r="B11" s="16">
        <v>459465.55</v>
      </c>
      <c r="C11" s="16">
        <f>ROUND($B11*0.35,2)</f>
        <v>160812.94</v>
      </c>
      <c r="D11" s="16">
        <f>ROUND($B11*0.03,2)-0.01</f>
        <v>13783.96</v>
      </c>
      <c r="E11" s="16">
        <v>0</v>
      </c>
      <c r="F11" s="16">
        <f t="shared" si="3"/>
        <v>11486.64</v>
      </c>
      <c r="G11" s="16">
        <f t="shared" si="4"/>
        <v>9189.31</v>
      </c>
      <c r="H11" s="16">
        <f t="shared" si="0"/>
        <v>9189.31</v>
      </c>
      <c r="I11" s="16">
        <f>ROUND($B11*0.03,2)-0.01</f>
        <v>13783.96</v>
      </c>
      <c r="J11" s="16">
        <f t="shared" si="1"/>
        <v>2297.33</v>
      </c>
      <c r="K11" s="16">
        <v>2679.05</v>
      </c>
      <c r="L11" s="16">
        <f>ROUND((($B11*0.22)+$K11)*0.76,2)</f>
        <v>78858.720000000001</v>
      </c>
      <c r="M11" s="16">
        <f>ROUND((($B11*0.22)+$K11)*0.04,2)</f>
        <v>4150.46</v>
      </c>
      <c r="N11" s="16">
        <f>ROUND((($B11*0.22)+$K11)*0.1,2)+0.01</f>
        <v>10376.16</v>
      </c>
      <c r="O11" s="16">
        <f>ROUND((($B11*0.22)+$K11)*0.1,2)-0.21</f>
        <v>10375.94</v>
      </c>
    </row>
    <row r="12" spans="1:15" ht="14.25" customHeight="1" x14ac:dyDescent="0.25">
      <c r="A12" s="13" t="str">
        <f>Mountaineer!A12</f>
        <v>October 2025</v>
      </c>
      <c r="B12" s="16">
        <v>1202805.78</v>
      </c>
      <c r="C12" s="16">
        <f>ROUND($B12*0.35,2)+0.02</f>
        <v>420982.04000000004</v>
      </c>
      <c r="D12" s="16">
        <f>ROUND($B12*0.03,2)+0.01</f>
        <v>36084.18</v>
      </c>
      <c r="E12" s="16">
        <v>0</v>
      </c>
      <c r="F12" s="16">
        <f t="shared" si="3"/>
        <v>30070.14</v>
      </c>
      <c r="G12" s="16">
        <f t="shared" si="4"/>
        <v>24056.12</v>
      </c>
      <c r="H12" s="16">
        <f t="shared" si="0"/>
        <v>24056.12</v>
      </c>
      <c r="I12" s="16">
        <f>ROUND($B12*0.03,2)+0.01</f>
        <v>36084.18</v>
      </c>
      <c r="J12" s="16">
        <f t="shared" si="1"/>
        <v>6014.03</v>
      </c>
      <c r="K12" s="16">
        <v>3151.03</v>
      </c>
      <c r="L12" s="16">
        <f>ROUND((($B12*0.22)+$K12)*0.76,2)</f>
        <v>203503.91</v>
      </c>
      <c r="M12" s="16">
        <f>ROUND((($B12*0.22)+$K12)*0.04,2)</f>
        <v>10710.73</v>
      </c>
      <c r="N12" s="16">
        <f>ROUND((($B12*0.22)+$K12)*0.1,2)+0.07</f>
        <v>26776.9</v>
      </c>
      <c r="O12" s="16">
        <f>ROUND((($B12*0.22)+$K12)*0.1,2)-0.02</f>
        <v>26776.81</v>
      </c>
    </row>
    <row r="13" spans="1:15" ht="14.25" customHeight="1" x14ac:dyDescent="0.25">
      <c r="A13" s="13" t="str">
        <f>Mountaineer!A13</f>
        <v>November 2025</v>
      </c>
      <c r="B13" s="16">
        <v>945262.77</v>
      </c>
      <c r="C13" s="16">
        <f>ROUND($B13*0.35,2)-0.01</f>
        <v>330841.95999999996</v>
      </c>
      <c r="D13" s="16">
        <f>ROUND($B13*0.03,2)</f>
        <v>28357.88</v>
      </c>
      <c r="E13" s="16">
        <v>0</v>
      </c>
      <c r="F13" s="16">
        <f t="shared" si="3"/>
        <v>23631.57</v>
      </c>
      <c r="G13" s="16">
        <f t="shared" si="4"/>
        <v>18905.259999999998</v>
      </c>
      <c r="H13" s="16">
        <f t="shared" si="0"/>
        <v>18905.259999999998</v>
      </c>
      <c r="I13" s="16">
        <f>ROUND($B13*0.03,2)</f>
        <v>28357.88</v>
      </c>
      <c r="J13" s="16">
        <f t="shared" si="1"/>
        <v>4726.3100000000004</v>
      </c>
      <c r="K13" s="16">
        <v>3281.93</v>
      </c>
      <c r="L13" s="16">
        <f>ROUND((($B13*0.22)+$K13)*0.76,2)</f>
        <v>160542.20000000001</v>
      </c>
      <c r="M13" s="16">
        <f>ROUND((($B13*0.22)+$K13)*0.04,2)</f>
        <v>8449.59</v>
      </c>
      <c r="N13" s="16">
        <f>ROUND((($B13*0.22)+$K13)*0.1,2)-0.09</f>
        <v>21123.88</v>
      </c>
      <c r="O13" s="16">
        <f>ROUND((($B13*0.22)+$K13)*0.1,2)-0.09</f>
        <v>21123.88</v>
      </c>
    </row>
    <row r="14" spans="1:15" ht="14.25" customHeight="1" x14ac:dyDescent="0.25">
      <c r="A14" s="13" t="str">
        <f>Mountaineer!A14</f>
        <v>December 2025</v>
      </c>
      <c r="B14" s="16">
        <v>1233906.25</v>
      </c>
      <c r="C14" s="16">
        <f>ROUND($B14*0.35,2)+0.01</f>
        <v>431867.2</v>
      </c>
      <c r="D14" s="16">
        <f>ROUND($B14*0.03,2)-0.01</f>
        <v>37017.18</v>
      </c>
      <c r="E14" s="16">
        <v>0</v>
      </c>
      <c r="F14" s="16">
        <f t="shared" si="3"/>
        <v>30847.66</v>
      </c>
      <c r="G14" s="16">
        <f t="shared" si="4"/>
        <v>24678.13</v>
      </c>
      <c r="H14" s="16">
        <f t="shared" si="0"/>
        <v>24678.13</v>
      </c>
      <c r="I14" s="16">
        <f>ROUND($B14*0.03,2)-0.01</f>
        <v>37017.18</v>
      </c>
      <c r="J14" s="16">
        <f>ROUND($B14*0.005,2)+0.01</f>
        <v>6169.54</v>
      </c>
      <c r="K14" s="16">
        <v>3107.86</v>
      </c>
      <c r="L14" s="16">
        <f>ROUND((($B14*0.22)+$K14)*0.76,2)+0.01</f>
        <v>208671.11000000002</v>
      </c>
      <c r="M14" s="16">
        <f>ROUND((($B14*0.22)+$K14)*0.04,2)</f>
        <v>10982.69</v>
      </c>
      <c r="N14" s="16">
        <f>ROUND((($B14*0.22)+$K14)*0.1,2)-0.01</f>
        <v>27456.710000000003</v>
      </c>
      <c r="O14" s="16">
        <f>ROUND((($B14*0.22)+$K14)*0.1,2)+0.39</f>
        <v>27457.11</v>
      </c>
    </row>
    <row r="15" spans="1:15" ht="14.25" customHeight="1" x14ac:dyDescent="0.25">
      <c r="A15" s="13" t="str">
        <f>Mountaineer!A15</f>
        <v>January 2026</v>
      </c>
      <c r="B15" s="16">
        <v>1260088.25</v>
      </c>
      <c r="C15" s="16">
        <f>ROUND($B15*0.35,2)</f>
        <v>441030.89</v>
      </c>
      <c r="D15" s="16">
        <f>ROUND($B15*0.03,2)-0.01</f>
        <v>37802.639999999999</v>
      </c>
      <c r="E15" s="16">
        <v>0</v>
      </c>
      <c r="F15" s="16">
        <f>ROUND($B15*0.025,2)-0.01</f>
        <v>31502.2</v>
      </c>
      <c r="G15" s="16">
        <f t="shared" si="4"/>
        <v>25201.77</v>
      </c>
      <c r="H15" s="16">
        <f t="shared" si="0"/>
        <v>25201.77</v>
      </c>
      <c r="I15" s="16">
        <f>ROUND($B15*0.03,2)-0.01</f>
        <v>37802.639999999999</v>
      </c>
      <c r="J15" s="16">
        <f>ROUND($B15*0.005,2)</f>
        <v>6300.44</v>
      </c>
      <c r="K15" s="16">
        <v>3311.43</v>
      </c>
      <c r="L15" s="16">
        <f>ROUND((($B15*0.22)+$K15)*0.76,2)+0.01</f>
        <v>213203.45</v>
      </c>
      <c r="M15" s="16">
        <f>ROUND((($B15*0.22)+$K15)*0.04,2)</f>
        <v>11221.23</v>
      </c>
      <c r="N15" s="16">
        <f>ROUND((($B15*0.22)+$K15)*0.1,2)+0.12</f>
        <v>28053.200000000001</v>
      </c>
      <c r="O15" s="16">
        <f>ROUND((($B15*0.22)+$K15)*0.1,2)-0.33</f>
        <v>28052.75</v>
      </c>
    </row>
    <row r="17" spans="1:15" ht="15" customHeight="1" thickBot="1" x14ac:dyDescent="0.3">
      <c r="B17" s="7">
        <f t="shared" ref="B17:O17" si="5">SUM(B9:B16)</f>
        <v>7478658.0199999996</v>
      </c>
      <c r="C17" s="7">
        <f t="shared" si="5"/>
        <v>2617530.3200000003</v>
      </c>
      <c r="D17" s="7">
        <f t="shared" si="5"/>
        <v>224359.71999999997</v>
      </c>
      <c r="E17" s="7">
        <f t="shared" si="5"/>
        <v>1228.0899999999999</v>
      </c>
      <c r="F17" s="7">
        <f t="shared" si="5"/>
        <v>186284.18000000002</v>
      </c>
      <c r="G17" s="7">
        <f t="shared" si="5"/>
        <v>149027.35999999999</v>
      </c>
      <c r="H17" s="7">
        <f t="shared" si="5"/>
        <v>149573.18</v>
      </c>
      <c r="I17" s="7">
        <f t="shared" si="5"/>
        <v>224359.71999999997</v>
      </c>
      <c r="J17" s="7">
        <f t="shared" si="5"/>
        <v>37393.300000000003</v>
      </c>
      <c r="K17" s="7">
        <f t="shared" si="5"/>
        <v>23328.91</v>
      </c>
      <c r="L17" s="7">
        <f t="shared" si="5"/>
        <v>1268161.6200000001</v>
      </c>
      <c r="M17" s="7">
        <f t="shared" si="5"/>
        <v>66745.34</v>
      </c>
      <c r="N17" s="7">
        <f t="shared" si="5"/>
        <v>166863.36000000002</v>
      </c>
      <c r="O17" s="7">
        <f t="shared" si="5"/>
        <v>166863.15000000002</v>
      </c>
    </row>
    <row r="18" spans="1:15" ht="15" customHeight="1" thickTop="1" x14ac:dyDescent="0.25"/>
    <row r="19" spans="1:15" ht="15" customHeight="1" x14ac:dyDescent="0.25">
      <c r="A19" s="8" t="s">
        <v>14</v>
      </c>
    </row>
    <row r="20" spans="1:15" ht="15" customHeight="1" x14ac:dyDescent="0.25">
      <c r="A20" s="8" t="s">
        <v>15</v>
      </c>
    </row>
  </sheetData>
  <mergeCells count="2">
    <mergeCell ref="A1:O1"/>
    <mergeCell ref="A7:O7"/>
  </mergeCells>
  <pageMargins left="0.25" right="0.25" top="0.5" bottom="0.5" header="0" footer="0"/>
  <pageSetup scale="6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20"/>
  <sheetViews>
    <sheetView workbookViewId="0">
      <selection activeCell="O15" sqref="O15"/>
    </sheetView>
  </sheetViews>
  <sheetFormatPr defaultColWidth="9.140625" defaultRowHeight="15" customHeight="1" x14ac:dyDescent="0.25"/>
  <cols>
    <col min="1" max="1" width="15.7109375" style="1" customWidth="1"/>
    <col min="2" max="3" width="16.140625" style="1" bestFit="1" customWidth="1"/>
    <col min="4" max="4" width="15" style="1" bestFit="1" customWidth="1"/>
    <col min="5" max="5" width="13.7109375" style="1" customWidth="1"/>
    <col min="6" max="9" width="15" style="1" bestFit="1" customWidth="1"/>
    <col min="10" max="10" width="13.28515625" style="1" bestFit="1" customWidth="1"/>
    <col min="11" max="11" width="11.85546875" style="1" customWidth="1"/>
    <col min="12" max="12" width="16.140625" style="1" bestFit="1" customWidth="1"/>
    <col min="13" max="13" width="13.28515625" style="1" bestFit="1" customWidth="1"/>
    <col min="14" max="15" width="15" style="1" bestFit="1" customWidth="1"/>
    <col min="16" max="16384" width="9.140625" style="1"/>
  </cols>
  <sheetData>
    <row r="1" spans="1:15" ht="15" customHeight="1" x14ac:dyDescent="0.2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15" customHeight="1" x14ac:dyDescent="0.25">
      <c r="A2" s="11"/>
    </row>
    <row r="4" spans="1:15" ht="45" customHeight="1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5" t="s">
        <v>27</v>
      </c>
      <c r="B5" s="6">
        <v>60067373.059999995</v>
      </c>
      <c r="C5" s="6">
        <v>21023580.609999999</v>
      </c>
      <c r="D5" s="6">
        <v>1802021.2799999998</v>
      </c>
      <c r="E5" s="6">
        <v>270303.17</v>
      </c>
      <c r="F5" s="6">
        <v>1351515.88</v>
      </c>
      <c r="G5" s="6">
        <v>1081212.77</v>
      </c>
      <c r="H5" s="6">
        <v>1201347.52</v>
      </c>
      <c r="I5" s="6">
        <v>1802021.2799999998</v>
      </c>
      <c r="J5" s="6">
        <v>300336.88</v>
      </c>
      <c r="K5" s="6">
        <v>60385.37</v>
      </c>
      <c r="L5" s="6">
        <v>10089157.439999999</v>
      </c>
      <c r="M5" s="6">
        <v>531008.28</v>
      </c>
      <c r="N5" s="6">
        <v>1327520.8699999996</v>
      </c>
      <c r="O5" s="6">
        <v>1327520.69</v>
      </c>
    </row>
    <row r="7" spans="1:15" ht="15" customHeight="1" x14ac:dyDescent="0.25">
      <c r="A7" s="28" t="s">
        <v>26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9" spans="1:15" ht="14.25" customHeight="1" x14ac:dyDescent="0.25">
      <c r="A9" s="13" t="str">
        <f>Mountaineer!A9</f>
        <v>July 2025</v>
      </c>
      <c r="B9" s="16">
        <v>5887993.75</v>
      </c>
      <c r="C9" s="16">
        <f>ROUND($B9*0.35,2)+0.02</f>
        <v>2060797.83</v>
      </c>
      <c r="D9" s="16">
        <f>ROUND($B9*0.03,2)+0.01</f>
        <v>176639.82</v>
      </c>
      <c r="E9" s="16">
        <v>9266.4</v>
      </c>
      <c r="F9" s="16">
        <v>142051.84</v>
      </c>
      <c r="G9" s="16">
        <v>113641.48</v>
      </c>
      <c r="H9" s="16">
        <f t="shared" ref="H9" si="0">ROUND($B9*0.02,2)</f>
        <v>117759.88</v>
      </c>
      <c r="I9" s="16">
        <f>ROUND($B9*0.03,2)+0.01</f>
        <v>176639.82</v>
      </c>
      <c r="J9" s="16">
        <f t="shared" ref="J9:J15" si="1">ROUND($B9*0.005,2)</f>
        <v>29439.97</v>
      </c>
      <c r="K9" s="16">
        <v>4150.8500000000004</v>
      </c>
      <c r="L9" s="16">
        <f>ROUND((($B9*0.22)+$K9)*0.76,2)</f>
        <v>987627.2</v>
      </c>
      <c r="M9" s="16">
        <f>ROUND((($B9*0.22)+$K9)*0.04,2)-0.01</f>
        <v>51980.369999999995</v>
      </c>
      <c r="N9" s="16">
        <f>ROUND((($B9*0.22)+$K9)*0.1,2)-0.01</f>
        <v>129950.94</v>
      </c>
      <c r="O9" s="16">
        <f>ROUND((($B9*0.22)+$K9)*0.1,2)+0.01</f>
        <v>129950.95999999999</v>
      </c>
    </row>
    <row r="10" spans="1:15" ht="14.25" customHeight="1" x14ac:dyDescent="0.25">
      <c r="A10" s="13" t="str">
        <f>Mountaineer!A10</f>
        <v>August 2025</v>
      </c>
      <c r="B10" s="16">
        <v>4901231.5</v>
      </c>
      <c r="C10" s="16">
        <f>ROUND($B10*0.35,2)-0.01</f>
        <v>1715431.02</v>
      </c>
      <c r="D10" s="16">
        <f>ROUND($B10*0.03,2)+0.01</f>
        <v>147036.96000000002</v>
      </c>
      <c r="E10" s="16">
        <v>0</v>
      </c>
      <c r="F10" s="16">
        <f t="shared" ref="F10:F15" si="2">ROUND($B10*0.025,2)</f>
        <v>122530.79</v>
      </c>
      <c r="G10" s="16">
        <f>ROUND($B10*0.02,2)+0.01</f>
        <v>98024.639999999999</v>
      </c>
      <c r="H10" s="16">
        <f>ROUND($B10*0.02,2)+0.01</f>
        <v>98024.639999999999</v>
      </c>
      <c r="I10" s="16">
        <f>ROUND($B10*0.03,2)+0.01</f>
        <v>147036.96000000002</v>
      </c>
      <c r="J10" s="16">
        <f t="shared" si="1"/>
        <v>24506.16</v>
      </c>
      <c r="K10" s="16">
        <v>3646.76</v>
      </c>
      <c r="L10" s="16">
        <f>ROUND((($B10*0.22)+$K10)*0.76,2)-0.04</f>
        <v>822257.39999999991</v>
      </c>
      <c r="M10" s="16">
        <f>ROUND((($B10*0.22)+$K10)*0.04,2)</f>
        <v>43276.71</v>
      </c>
      <c r="N10" s="16">
        <f>ROUND((($B10*0.22)+$K10)*0.1,2)-0.1</f>
        <v>108191.67</v>
      </c>
      <c r="O10" s="16">
        <f>ROUND((($B10*0.22)+$K10)*0.1,2)+0.03</f>
        <v>108191.8</v>
      </c>
    </row>
    <row r="11" spans="1:15" ht="14.25" customHeight="1" x14ac:dyDescent="0.25">
      <c r="A11" s="13" t="str">
        <f>Mountaineer!A11</f>
        <v>September 2025</v>
      </c>
      <c r="B11" s="16">
        <v>4338991.28</v>
      </c>
      <c r="C11" s="16">
        <f>ROUND($B11*0.35,2)+0.01</f>
        <v>1518646.96</v>
      </c>
      <c r="D11" s="16">
        <f>ROUND($B11*0.03,2)+0.02</f>
        <v>130169.76000000001</v>
      </c>
      <c r="E11" s="16">
        <v>0</v>
      </c>
      <c r="F11" s="16">
        <f t="shared" si="2"/>
        <v>108474.78</v>
      </c>
      <c r="G11" s="16">
        <f>ROUND($B11*0.02,2)+0.01</f>
        <v>86779.839999999997</v>
      </c>
      <c r="H11" s="16">
        <f>ROUND($B11*0.02,2)+0.01</f>
        <v>86779.839999999997</v>
      </c>
      <c r="I11" s="16">
        <f>ROUND($B11*0.03,2)+0.02</f>
        <v>130169.76000000001</v>
      </c>
      <c r="J11" s="16">
        <f t="shared" si="1"/>
        <v>21694.959999999999</v>
      </c>
      <c r="K11" s="16">
        <v>2679.05</v>
      </c>
      <c r="L11" s="16">
        <f>ROUND((($B11*0.22)+$K11)*0.76,2)-0.05</f>
        <v>727515.37</v>
      </c>
      <c r="M11" s="16">
        <f>ROUND((($B11*0.22)+$K11)*0.04,2)-0.01</f>
        <v>38290.28</v>
      </c>
      <c r="N11" s="16">
        <f>ROUND((($B11*0.22)+$K11)*0.1,2)+0.01</f>
        <v>95725.72</v>
      </c>
      <c r="O11" s="16">
        <f>ROUND((($B11*0.22)+$K11)*0.1,2)-0.2</f>
        <v>95725.510000000009</v>
      </c>
    </row>
    <row r="12" spans="1:15" ht="14.25" customHeight="1" x14ac:dyDescent="0.25">
      <c r="A12" s="13" t="str">
        <f>Mountaineer!A12</f>
        <v>October 2025</v>
      </c>
      <c r="B12" s="16">
        <v>5822798.5</v>
      </c>
      <c r="C12" s="16">
        <f>ROUND($B12*0.35,2)-0.01</f>
        <v>2037979.47</v>
      </c>
      <c r="D12" s="16">
        <f>ROUND($B12*0.03,2)-0.02</f>
        <v>174683.94</v>
      </c>
      <c r="E12" s="16">
        <v>0</v>
      </c>
      <c r="F12" s="16">
        <f t="shared" si="2"/>
        <v>145569.96</v>
      </c>
      <c r="G12" s="16">
        <f>ROUND($B12*0.02,2)-0.01</f>
        <v>116455.96</v>
      </c>
      <c r="H12" s="16">
        <f>ROUND($B12*0.02,2)-0.01</f>
        <v>116455.96</v>
      </c>
      <c r="I12" s="16">
        <f>ROUND($B12*0.03,2)-0.02</f>
        <v>174683.94</v>
      </c>
      <c r="J12" s="16">
        <f t="shared" si="1"/>
        <v>29113.99</v>
      </c>
      <c r="K12" s="16">
        <v>3151.03</v>
      </c>
      <c r="L12" s="16">
        <f>ROUND((($B12*0.22)+$K12)*0.76,2)+0.03</f>
        <v>975966.71999999997</v>
      </c>
      <c r="M12" s="16">
        <f>ROUND((($B12*0.22)+$K12)*0.04,2)</f>
        <v>51366.67</v>
      </c>
      <c r="N12" s="16">
        <f>ROUND((($B12*0.22)+$K12)*0.1,2)+0.09</f>
        <v>128416.76</v>
      </c>
      <c r="O12" s="16">
        <f>ROUND((($B12*0.22)+$K12)*0.1,2)-0.01</f>
        <v>128416.66</v>
      </c>
    </row>
    <row r="13" spans="1:15" ht="14.25" customHeight="1" x14ac:dyDescent="0.25">
      <c r="A13" s="13" t="str">
        <f>Mountaineer!A13</f>
        <v>November 2025</v>
      </c>
      <c r="B13" s="16">
        <v>5486562.5</v>
      </c>
      <c r="C13" s="16">
        <f>ROUND($B13*0.35,2)</f>
        <v>1920296.88</v>
      </c>
      <c r="D13" s="16">
        <f>ROUND($B13*0.03,2)-0.02</f>
        <v>164596.86000000002</v>
      </c>
      <c r="E13" s="16">
        <v>0</v>
      </c>
      <c r="F13" s="16">
        <f t="shared" si="2"/>
        <v>137164.06</v>
      </c>
      <c r="G13" s="16">
        <f>ROUND($B13*0.02,2)-0.01</f>
        <v>109731.24</v>
      </c>
      <c r="H13" s="16">
        <f>ROUND($B13*0.02,2)-0.01</f>
        <v>109731.24</v>
      </c>
      <c r="I13" s="16">
        <f>ROUND($B13*0.03,2)-0.02</f>
        <v>164596.86000000002</v>
      </c>
      <c r="J13" s="16">
        <f t="shared" si="1"/>
        <v>27432.81</v>
      </c>
      <c r="K13" s="16">
        <v>3281.92</v>
      </c>
      <c r="L13" s="16">
        <f>ROUND((($B13*0.22)+$K13)*0.76,2)+0.05</f>
        <v>919847.56</v>
      </c>
      <c r="M13" s="16">
        <f>ROUND((($B13*0.22)+$K13)*0.04,2)</f>
        <v>48413.03</v>
      </c>
      <c r="N13" s="16">
        <f>ROUND((($B13*0.22)+$K13)*0.1,2)-0.11</f>
        <v>121032.46</v>
      </c>
      <c r="O13" s="16">
        <f>ROUND((($B13*0.22)+$K13)*0.1,2)-0.1</f>
        <v>121032.47</v>
      </c>
    </row>
    <row r="14" spans="1:15" ht="14.25" customHeight="1" x14ac:dyDescent="0.25">
      <c r="A14" s="13" t="str">
        <f>Mountaineer!A14</f>
        <v>December 2025</v>
      </c>
      <c r="B14" s="16">
        <v>5244159.5</v>
      </c>
      <c r="C14" s="16">
        <f>ROUND($B14*0.35,2)+0.01</f>
        <v>1835455.84</v>
      </c>
      <c r="D14" s="16">
        <f>ROUND($B14*0.03,2)+0.01</f>
        <v>157324.80000000002</v>
      </c>
      <c r="E14" s="16">
        <v>0</v>
      </c>
      <c r="F14" s="16">
        <f t="shared" si="2"/>
        <v>131103.99</v>
      </c>
      <c r="G14" s="16">
        <f>ROUND($B14*0.02,2)+0.01</f>
        <v>104883.2</v>
      </c>
      <c r="H14" s="16">
        <f>ROUND($B14*0.02,2)+0.01</f>
        <v>104883.2</v>
      </c>
      <c r="I14" s="16">
        <f>ROUND($B14*0.03,2)+0.01</f>
        <v>157324.80000000002</v>
      </c>
      <c r="J14" s="16">
        <f t="shared" si="1"/>
        <v>26220.799999999999</v>
      </c>
      <c r="K14" s="16">
        <v>3107.87</v>
      </c>
      <c r="L14" s="16">
        <f>ROUND((($B14*0.22)+$K14)*0.76,2)-0.03</f>
        <v>879185.41999999993</v>
      </c>
      <c r="M14" s="16">
        <f>ROUND((($B14*0.22)+$K14)*0.04,2)</f>
        <v>46272.92</v>
      </c>
      <c r="N14" s="16">
        <f>ROUND((($B14*0.22)+$K14)*0.1,2)-0.02</f>
        <v>115682.28</v>
      </c>
      <c r="O14" s="16">
        <f>ROUND((($B14*0.22)+$K14)*0.1,2)+0.38</f>
        <v>115682.68000000001</v>
      </c>
    </row>
    <row r="15" spans="1:15" ht="14.25" customHeight="1" x14ac:dyDescent="0.25">
      <c r="A15" s="13" t="str">
        <f>Mountaineer!A15</f>
        <v>January 2026</v>
      </c>
      <c r="B15" s="16">
        <v>5277357.25</v>
      </c>
      <c r="C15" s="16">
        <f>ROUND($B15*0.35,2)</f>
        <v>1847075.04</v>
      </c>
      <c r="D15" s="16">
        <f>ROUND($B15*0.03,2)+0.02</f>
        <v>158320.74</v>
      </c>
      <c r="E15" s="16">
        <v>0</v>
      </c>
      <c r="F15" s="16">
        <f t="shared" si="2"/>
        <v>131933.93</v>
      </c>
      <c r="G15" s="16">
        <f>ROUND($B15*0.02,2)+0.01</f>
        <v>105547.15999999999</v>
      </c>
      <c r="H15" s="16">
        <f>ROUND($B15*0.02,2)+0.01</f>
        <v>105547.15999999999</v>
      </c>
      <c r="I15" s="16">
        <f>ROUND($B15*0.03,2)+0.02</f>
        <v>158320.74</v>
      </c>
      <c r="J15" s="16">
        <f t="shared" si="1"/>
        <v>26386.79</v>
      </c>
      <c r="K15" s="16">
        <v>3311.44</v>
      </c>
      <c r="L15" s="16">
        <f>ROUND((($B15*0.22)+$K15)*0.76,2)-0.07</f>
        <v>884890.76</v>
      </c>
      <c r="M15" s="16">
        <f>ROUND((($B15*0.22)+$K15)*0.04,2)</f>
        <v>46573.2</v>
      </c>
      <c r="N15" s="16">
        <f>ROUND((($B15*0.22)+$K15)*0.1,2)+0.12</f>
        <v>116433.12</v>
      </c>
      <c r="O15" s="16">
        <f>ROUND((($B15*0.22)+$K15)*0.1,2)-0.33</f>
        <v>116432.67</v>
      </c>
    </row>
    <row r="17" spans="1:15" ht="15" customHeight="1" thickBot="1" x14ac:dyDescent="0.3">
      <c r="B17" s="7">
        <f t="shared" ref="B17:O17" si="3">SUM(B9:B16)</f>
        <v>36959094.280000001</v>
      </c>
      <c r="C17" s="7">
        <f t="shared" si="3"/>
        <v>12935683.039999999</v>
      </c>
      <c r="D17" s="7">
        <f t="shared" si="3"/>
        <v>1108772.8799999999</v>
      </c>
      <c r="E17" s="7">
        <f t="shared" si="3"/>
        <v>9266.4</v>
      </c>
      <c r="F17" s="7">
        <f t="shared" si="3"/>
        <v>918829.34999999986</v>
      </c>
      <c r="G17" s="7">
        <f t="shared" si="3"/>
        <v>735063.52</v>
      </c>
      <c r="H17" s="7">
        <f t="shared" si="3"/>
        <v>739181.92</v>
      </c>
      <c r="I17" s="7">
        <f t="shared" si="3"/>
        <v>1108772.8799999999</v>
      </c>
      <c r="J17" s="7">
        <f t="shared" si="3"/>
        <v>184795.48</v>
      </c>
      <c r="K17" s="7">
        <f t="shared" si="3"/>
        <v>23328.92</v>
      </c>
      <c r="L17" s="7">
        <f t="shared" si="3"/>
        <v>6197290.4299999997</v>
      </c>
      <c r="M17" s="7">
        <f t="shared" si="3"/>
        <v>326173.18</v>
      </c>
      <c r="N17" s="7">
        <f t="shared" si="3"/>
        <v>815432.95</v>
      </c>
      <c r="O17" s="7">
        <f t="shared" si="3"/>
        <v>815432.75000000012</v>
      </c>
    </row>
    <row r="18" spans="1:15" ht="15" customHeight="1" thickTop="1" x14ac:dyDescent="0.25"/>
    <row r="19" spans="1:15" ht="14.25" customHeight="1" x14ac:dyDescent="0.25">
      <c r="A19" s="8" t="s">
        <v>14</v>
      </c>
    </row>
    <row r="20" spans="1:15" ht="15" customHeight="1" x14ac:dyDescent="0.25">
      <c r="A20" s="8" t="s">
        <v>15</v>
      </c>
    </row>
  </sheetData>
  <mergeCells count="2">
    <mergeCell ref="A1:O1"/>
    <mergeCell ref="A7:O7"/>
  </mergeCells>
  <pageMargins left="0.25" right="0.25" top="0.5" bottom="0.5" header="0" footer="0"/>
  <pageSetup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Sarah Pitzer</cp:lastModifiedBy>
  <cp:lastPrinted>2022-05-24T13:43:06Z</cp:lastPrinted>
  <dcterms:created xsi:type="dcterms:W3CDTF">2017-06-26T17:33:37Z</dcterms:created>
  <dcterms:modified xsi:type="dcterms:W3CDTF">2026-02-05T20:41:25Z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2024-08-29T18:02:05Z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61d58641-215a-4603-94a3-75b61e62e7f0</vt:lpwstr>
  </property>
  <property fmtid="{D5CDD505-2E9C-101B-9397-08002B2CF9AE}" pid="8" name="MSIP_Label_defa4170-0d19-0005-0004-bc88714345d2_ContentBits">
    <vt:lpwstr>0</vt:lpwstr>
  </property>
</Properties>
</file>